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cgov-my.sharepoint.com/personal/stacy_day_twc_texas_gov/Documents/Desktop/"/>
    </mc:Choice>
  </mc:AlternateContent>
  <xr:revisionPtr revIDLastSave="0" documentId="8_{2FA6F7AB-5A2B-4EE8-9B42-4DE551FE5289}" xr6:coauthVersionLast="47" xr6:coauthVersionMax="47" xr10:uidLastSave="{00000000-0000-0000-0000-000000000000}"/>
  <workbookProtection workbookAlgorithmName="SHA-512" workbookHashValue="8wPFb6kawnqKHGgLAXEYr9+Qm10C7aCdLjE2NrixhIWue87plKh6CCUzHooIrQyY1GnbLNEG8vdepkjUCx983w==" workbookSaltValue="x5hRx6WTV0/7jC55gRrjhQ==" workbookSpinCount="100000" lockStructure="1"/>
  <bookViews>
    <workbookView xWindow="0" yWindow="0" windowWidth="20057" windowHeight="11666" xr2:uid="{EA93B03D-E2EB-4D94-B7C1-B12D5F10F538}"/>
  </bookViews>
  <sheets>
    <sheet name="FFY27 PSoC Calculator" sheetId="4" r:id="rId1"/>
    <sheet name="Income Charts" sheetId="8" state="hidden" r:id="rId2"/>
    <sheet name="PSoC Chart" sheetId="6" state="hidden" r:id="rId3"/>
    <sheet name="SMI" sheetId="3" state="hidden" r:id="rId4"/>
    <sheet name="Scale Charts" sheetId="7" state="hidden" r:id="rId5"/>
    <sheet name="Calculations" sheetId="2" state="hidden" r:id="rId6"/>
  </sheets>
  <definedNames>
    <definedName name="_xlnm.Print_Area" localSheetId="2">'PSoC Chart'!$A$1:$K$97</definedName>
    <definedName name="SMIRang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3" i="2"/>
  <c r="F4" i="3"/>
  <c r="B4" i="3" s="1"/>
  <c r="F6" i="3"/>
  <c r="B6" i="3" s="1"/>
  <c r="F7" i="3"/>
  <c r="B7" i="3" s="1"/>
  <c r="F8" i="3"/>
  <c r="B8" i="3" s="1"/>
  <c r="F9" i="3"/>
  <c r="B9" i="3" s="1"/>
  <c r="F10" i="3"/>
  <c r="B10" i="3" s="1"/>
  <c r="F11" i="3"/>
  <c r="B11" i="3" s="1"/>
  <c r="F12" i="3"/>
  <c r="B12" i="3" s="1"/>
  <c r="E3" i="3"/>
  <c r="F3" i="3" s="1"/>
  <c r="B3" i="3" s="1"/>
  <c r="E4" i="3"/>
  <c r="E5" i="3"/>
  <c r="F5" i="3" s="1"/>
  <c r="B5" i="3" s="1"/>
  <c r="E6" i="3"/>
  <c r="E7" i="3"/>
  <c r="E8" i="3"/>
  <c r="E9" i="3"/>
  <c r="E10" i="3"/>
  <c r="E11" i="3"/>
  <c r="E12" i="3"/>
  <c r="E13" i="3"/>
  <c r="F13" i="3" s="1"/>
  <c r="B13" i="3" s="1"/>
  <c r="E14" i="3"/>
  <c r="F14" i="3" s="1"/>
  <c r="B14" i="3" s="1"/>
  <c r="E15" i="3"/>
  <c r="F15" i="3" s="1"/>
  <c r="B15" i="3" s="1"/>
  <c r="E16" i="3"/>
  <c r="F16" i="3" s="1"/>
  <c r="B16" i="3" s="1"/>
  <c r="E2" i="3"/>
  <c r="F2" i="3" s="1"/>
  <c r="B2" i="3" s="1"/>
  <c r="B32" i="6" l="1"/>
  <c r="I32" i="6"/>
  <c r="G32" i="6"/>
  <c r="E32" i="6"/>
  <c r="C32" i="6"/>
  <c r="J32" i="6"/>
  <c r="H32" i="6"/>
  <c r="F32" i="6"/>
  <c r="D32" i="6"/>
  <c r="J6" i="6"/>
  <c r="H6" i="6"/>
  <c r="F6" i="6"/>
  <c r="D6" i="6"/>
  <c r="C6" i="6"/>
  <c r="B6" i="6"/>
  <c r="I6" i="6"/>
  <c r="G6" i="6"/>
  <c r="E6" i="6"/>
  <c r="E60" i="6"/>
  <c r="D60" i="6"/>
  <c r="I60" i="6"/>
  <c r="G60" i="6"/>
  <c r="J60" i="6"/>
  <c r="C60" i="6"/>
  <c r="B60" i="6"/>
  <c r="H60" i="6"/>
  <c r="F60" i="6"/>
  <c r="C15" i="6"/>
  <c r="B15" i="6"/>
  <c r="I15" i="6"/>
  <c r="G15" i="6"/>
  <c r="J15" i="6"/>
  <c r="H15" i="6"/>
  <c r="F15" i="6"/>
  <c r="E15" i="6"/>
  <c r="D15" i="6"/>
  <c r="B2" i="2"/>
  <c r="B5" i="2" s="1"/>
  <c r="F7" i="6" l="1"/>
  <c r="F8" i="6" s="1"/>
  <c r="F10" i="6"/>
  <c r="H7" i="6"/>
  <c r="H8" i="6" s="1"/>
  <c r="H10" i="6"/>
  <c r="B61" i="6"/>
  <c r="B64" i="6"/>
  <c r="B33" i="6"/>
  <c r="B36" i="6"/>
  <c r="D16" i="6"/>
  <c r="D19" i="6"/>
  <c r="C64" i="6"/>
  <c r="C61" i="6"/>
  <c r="E16" i="6"/>
  <c r="E19" i="6"/>
  <c r="J61" i="6"/>
  <c r="J64" i="6"/>
  <c r="F16" i="6"/>
  <c r="F19" i="6"/>
  <c r="G61" i="6"/>
  <c r="G64" i="6"/>
  <c r="J7" i="6"/>
  <c r="J8" i="6" s="1"/>
  <c r="J10" i="6"/>
  <c r="J16" i="6"/>
  <c r="J19" i="6"/>
  <c r="H33" i="6"/>
  <c r="H36" i="6"/>
  <c r="E7" i="6"/>
  <c r="E8" i="6" s="1"/>
  <c r="E10" i="6"/>
  <c r="G7" i="6"/>
  <c r="G8" i="6" s="1"/>
  <c r="G10" i="6"/>
  <c r="H16" i="6"/>
  <c r="H19" i="6"/>
  <c r="I64" i="6"/>
  <c r="I61" i="6"/>
  <c r="D33" i="6"/>
  <c r="D36" i="6"/>
  <c r="D61" i="6"/>
  <c r="D64" i="6"/>
  <c r="F33" i="6"/>
  <c r="F36" i="6"/>
  <c r="E64" i="6"/>
  <c r="E61" i="6"/>
  <c r="I16" i="6"/>
  <c r="I19" i="6"/>
  <c r="E33" i="6"/>
  <c r="E36" i="6"/>
  <c r="G33" i="6"/>
  <c r="G36" i="6"/>
  <c r="G19" i="6"/>
  <c r="G16" i="6"/>
  <c r="J33" i="6"/>
  <c r="J36" i="6"/>
  <c r="B16" i="6"/>
  <c r="B19" i="6"/>
  <c r="C33" i="6"/>
  <c r="C36" i="6"/>
  <c r="C16" i="6"/>
  <c r="C19" i="6"/>
  <c r="I7" i="6"/>
  <c r="I8" i="6" s="1"/>
  <c r="I10" i="6"/>
  <c r="F64" i="6"/>
  <c r="F61" i="6"/>
  <c r="B7" i="6"/>
  <c r="B8" i="6" s="1"/>
  <c r="B10" i="6"/>
  <c r="H64" i="6"/>
  <c r="H61" i="6"/>
  <c r="C7" i="6"/>
  <c r="C8" i="6" s="1"/>
  <c r="C10" i="6"/>
  <c r="I33" i="6"/>
  <c r="I36" i="6"/>
  <c r="D7" i="6"/>
  <c r="D8" i="6" s="1"/>
  <c r="D10" i="6"/>
  <c r="B6" i="2"/>
  <c r="C4" i="2"/>
  <c r="B11" i="6" l="1"/>
  <c r="B9" i="6"/>
  <c r="B3" i="6" s="1"/>
  <c r="D39" i="6"/>
  <c r="D43" i="6" s="1"/>
  <c r="D34" i="6"/>
  <c r="D44" i="6"/>
  <c r="D48" i="6" s="1"/>
  <c r="I12" i="6"/>
  <c r="I13" i="6" s="1"/>
  <c r="C12" i="6"/>
  <c r="C13" i="6" s="1"/>
  <c r="H39" i="6"/>
  <c r="H43" i="6" s="1"/>
  <c r="H34" i="6"/>
  <c r="H44" i="6"/>
  <c r="H48" i="6" s="1"/>
  <c r="J17" i="6"/>
  <c r="J22" i="6"/>
  <c r="E22" i="6"/>
  <c r="E17" i="6"/>
  <c r="I44" i="6"/>
  <c r="I48" i="6" s="1"/>
  <c r="I34" i="6"/>
  <c r="I39" i="6"/>
  <c r="I43" i="6" s="1"/>
  <c r="C11" i="6"/>
  <c r="C9" i="6"/>
  <c r="C3" i="6" s="1"/>
  <c r="J72" i="6"/>
  <c r="J76" i="6" s="1"/>
  <c r="J67" i="6"/>
  <c r="J71" i="6" s="1"/>
  <c r="J62" i="6"/>
  <c r="J77" i="6"/>
  <c r="J81" i="6" s="1"/>
  <c r="C22" i="6"/>
  <c r="C17" i="6"/>
  <c r="H62" i="6"/>
  <c r="H67" i="6"/>
  <c r="H71" i="6" s="1"/>
  <c r="H77" i="6"/>
  <c r="H81" i="6" s="1"/>
  <c r="H72" i="6"/>
  <c r="H76" i="6" s="1"/>
  <c r="J11" i="6"/>
  <c r="J12" i="6" s="1"/>
  <c r="J13" i="6" s="1"/>
  <c r="J9" i="6"/>
  <c r="J3" i="6" s="1"/>
  <c r="J44" i="6"/>
  <c r="J48" i="6" s="1"/>
  <c r="J34" i="6"/>
  <c r="J39" i="6"/>
  <c r="J43" i="6" s="1"/>
  <c r="G17" i="6"/>
  <c r="G22" i="6"/>
  <c r="G24" i="6" s="1"/>
  <c r="G25" i="6" s="1"/>
  <c r="E72" i="6"/>
  <c r="E76" i="6" s="1"/>
  <c r="E67" i="6"/>
  <c r="E71" i="6" s="1"/>
  <c r="E62" i="6"/>
  <c r="E77" i="6"/>
  <c r="B34" i="6"/>
  <c r="B39" i="6"/>
  <c r="B43" i="6" s="1"/>
  <c r="B44" i="6"/>
  <c r="B48" i="6" s="1"/>
  <c r="I62" i="6"/>
  <c r="I77" i="6"/>
  <c r="I81" i="6" s="1"/>
  <c r="I67" i="6"/>
  <c r="I71" i="6" s="1"/>
  <c r="I72" i="6"/>
  <c r="I76" i="6" s="1"/>
  <c r="G44" i="6"/>
  <c r="G48" i="6" s="1"/>
  <c r="G39" i="6"/>
  <c r="G43" i="6" s="1"/>
  <c r="G34" i="6"/>
  <c r="B12" i="6"/>
  <c r="B13" i="6" s="1"/>
  <c r="F39" i="6"/>
  <c r="F43" i="6" s="1"/>
  <c r="F34" i="6"/>
  <c r="F44" i="6"/>
  <c r="F48" i="6" s="1"/>
  <c r="H22" i="6"/>
  <c r="H17" i="6"/>
  <c r="D9" i="6"/>
  <c r="D3" i="6" s="1"/>
  <c r="D11" i="6"/>
  <c r="D12" i="6" s="1"/>
  <c r="D13" i="6" s="1"/>
  <c r="B22" i="6"/>
  <c r="B17" i="6"/>
  <c r="G9" i="6"/>
  <c r="G3" i="6" s="1"/>
  <c r="G11" i="6"/>
  <c r="G12" i="6" s="1"/>
  <c r="G13" i="6" s="1"/>
  <c r="I22" i="6"/>
  <c r="I17" i="6"/>
  <c r="I11" i="6"/>
  <c r="I9" i="6"/>
  <c r="I3" i="6" s="1"/>
  <c r="C44" i="6"/>
  <c r="C48" i="6" s="1"/>
  <c r="C39" i="6"/>
  <c r="C43" i="6" s="1"/>
  <c r="C34" i="6"/>
  <c r="B77" i="6"/>
  <c r="B81" i="6" s="1"/>
  <c r="B67" i="6"/>
  <c r="B71" i="6" s="1"/>
  <c r="B72" i="6"/>
  <c r="B76" i="6" s="1"/>
  <c r="B62" i="6"/>
  <c r="E44" i="6"/>
  <c r="E48" i="6" s="1"/>
  <c r="E39" i="6"/>
  <c r="E43" i="6" s="1"/>
  <c r="E34" i="6"/>
  <c r="C72" i="6"/>
  <c r="C76" i="6" s="1"/>
  <c r="C67" i="6"/>
  <c r="C71" i="6" s="1"/>
  <c r="C77" i="6"/>
  <c r="C81" i="6" s="1"/>
  <c r="C62" i="6"/>
  <c r="G77" i="6"/>
  <c r="G81" i="6" s="1"/>
  <c r="G72" i="6"/>
  <c r="G76" i="6" s="1"/>
  <c r="G62" i="6"/>
  <c r="G67" i="6"/>
  <c r="G71" i="6" s="1"/>
  <c r="H11" i="6"/>
  <c r="H12" i="6" s="1"/>
  <c r="H13" i="6" s="1"/>
  <c r="H9" i="6"/>
  <c r="H3" i="6" s="1"/>
  <c r="F67" i="6"/>
  <c r="F71" i="6" s="1"/>
  <c r="F77" i="6"/>
  <c r="F81" i="6" s="1"/>
  <c r="F62" i="6"/>
  <c r="F72" i="6"/>
  <c r="F76" i="6" s="1"/>
  <c r="D72" i="6"/>
  <c r="D76" i="6" s="1"/>
  <c r="D67" i="6"/>
  <c r="D71" i="6" s="1"/>
  <c r="D77" i="6"/>
  <c r="D81" i="6" s="1"/>
  <c r="D62" i="6"/>
  <c r="E11" i="6"/>
  <c r="E12" i="6" s="1"/>
  <c r="E13" i="6" s="1"/>
  <c r="E9" i="6"/>
  <c r="E3" i="6" s="1"/>
  <c r="F22" i="6"/>
  <c r="F17" i="6"/>
  <c r="D22" i="6"/>
  <c r="D17" i="6"/>
  <c r="F11" i="6"/>
  <c r="F12" i="6" s="1"/>
  <c r="F13" i="6" s="1"/>
  <c r="F9" i="6"/>
  <c r="F3" i="6" s="1"/>
  <c r="D7" i="2"/>
  <c r="B6" i="4"/>
  <c r="G79" i="6" l="1"/>
  <c r="G65" i="6"/>
  <c r="G66" i="6" s="1"/>
  <c r="G69" i="6"/>
  <c r="G70" i="6" s="1"/>
  <c r="G74" i="6"/>
  <c r="G20" i="6"/>
  <c r="G21" i="6" s="1"/>
  <c r="G27" i="6" s="1"/>
  <c r="G28" i="6" s="1"/>
  <c r="G18" i="6"/>
  <c r="J18" i="6"/>
  <c r="J20" i="6"/>
  <c r="J21" i="6" s="1"/>
  <c r="J27" i="6" s="1"/>
  <c r="J28" i="6" s="1"/>
  <c r="J24" i="6"/>
  <c r="J25" i="6" s="1"/>
  <c r="J65" i="6"/>
  <c r="J66" i="6" s="1"/>
  <c r="J79" i="6"/>
  <c r="J69" i="6"/>
  <c r="J70" i="6" s="1"/>
  <c r="J74" i="6"/>
  <c r="J63" i="6"/>
  <c r="B18" i="6"/>
  <c r="B24" i="6"/>
  <c r="B25" i="6" s="1"/>
  <c r="B20" i="6"/>
  <c r="B21" i="6" s="1"/>
  <c r="B27" i="6" s="1"/>
  <c r="B28" i="6" s="1"/>
  <c r="H41" i="6"/>
  <c r="H42" i="6" s="1"/>
  <c r="H35" i="6"/>
  <c r="H37" i="6"/>
  <c r="H38" i="6" s="1"/>
  <c r="H46" i="6"/>
  <c r="C79" i="6"/>
  <c r="C69" i="6"/>
  <c r="C70" i="6" s="1"/>
  <c r="C65" i="6"/>
  <c r="C66" i="6" s="1"/>
  <c r="C74" i="6"/>
  <c r="H18" i="6"/>
  <c r="H24" i="6"/>
  <c r="H25" i="6" s="1"/>
  <c r="H20" i="6"/>
  <c r="H21" i="6" s="1"/>
  <c r="H27" i="6" s="1"/>
  <c r="H28" i="6" s="1"/>
  <c r="I65" i="6"/>
  <c r="I66" i="6" s="1"/>
  <c r="I79" i="6"/>
  <c r="I69" i="6"/>
  <c r="I70" i="6" s="1"/>
  <c r="I74" i="6"/>
  <c r="E65" i="6"/>
  <c r="E66" i="6" s="1"/>
  <c r="E74" i="6"/>
  <c r="E69" i="6"/>
  <c r="E70" i="6" s="1"/>
  <c r="G23" i="6"/>
  <c r="G29" i="6"/>
  <c r="G30" i="6" s="1"/>
  <c r="D65" i="6"/>
  <c r="D66" i="6" s="1"/>
  <c r="D79" i="6"/>
  <c r="D69" i="6"/>
  <c r="D70" i="6" s="1"/>
  <c r="D74" i="6"/>
  <c r="C41" i="6"/>
  <c r="C42" i="6" s="1"/>
  <c r="C35" i="6"/>
  <c r="C46" i="6"/>
  <c r="C37" i="6"/>
  <c r="C38" i="6" s="1"/>
  <c r="J35" i="6"/>
  <c r="J41" i="6"/>
  <c r="J42" i="6" s="1"/>
  <c r="J46" i="6"/>
  <c r="J37" i="6"/>
  <c r="J38" i="6" s="1"/>
  <c r="B35" i="6"/>
  <c r="B41" i="6"/>
  <c r="B42" i="6" s="1"/>
  <c r="B37" i="6"/>
  <c r="B38" i="6" s="1"/>
  <c r="B46" i="6"/>
  <c r="D24" i="6"/>
  <c r="D25" i="6" s="1"/>
  <c r="D20" i="6"/>
  <c r="D21" i="6" s="1"/>
  <c r="D27" i="6" s="1"/>
  <c r="D28" i="6" s="1"/>
  <c r="D18" i="6"/>
  <c r="E37" i="6"/>
  <c r="E38" i="6" s="1"/>
  <c r="E41" i="6"/>
  <c r="E42" i="6" s="1"/>
  <c r="E35" i="6"/>
  <c r="E46" i="6"/>
  <c r="I46" i="6"/>
  <c r="I37" i="6"/>
  <c r="I38" i="6" s="1"/>
  <c r="I41" i="6"/>
  <c r="I42" i="6" s="1"/>
  <c r="I35" i="6"/>
  <c r="G41" i="6"/>
  <c r="G42" i="6" s="1"/>
  <c r="G37" i="6"/>
  <c r="G38" i="6" s="1"/>
  <c r="G46" i="6"/>
  <c r="G35" i="6"/>
  <c r="H79" i="6"/>
  <c r="H69" i="6"/>
  <c r="H70" i="6" s="1"/>
  <c r="H65" i="6"/>
  <c r="H66" i="6" s="1"/>
  <c r="H74" i="6"/>
  <c r="E18" i="6"/>
  <c r="E20" i="6"/>
  <c r="E21" i="6" s="1"/>
  <c r="E27" i="6" s="1"/>
  <c r="E28" i="6" s="1"/>
  <c r="E24" i="6"/>
  <c r="E25" i="6" s="1"/>
  <c r="F74" i="6"/>
  <c r="F65" i="6"/>
  <c r="F66" i="6" s="1"/>
  <c r="F69" i="6"/>
  <c r="F70" i="6" s="1"/>
  <c r="F79" i="6"/>
  <c r="F46" i="6"/>
  <c r="F35" i="6"/>
  <c r="F41" i="6"/>
  <c r="F42" i="6" s="1"/>
  <c r="F37" i="6"/>
  <c r="F38" i="6" s="1"/>
  <c r="I24" i="6"/>
  <c r="I25" i="6" s="1"/>
  <c r="I20" i="6"/>
  <c r="I21" i="6" s="1"/>
  <c r="I27" i="6" s="1"/>
  <c r="I28" i="6" s="1"/>
  <c r="I18" i="6"/>
  <c r="E79" i="6"/>
  <c r="E81" i="6"/>
  <c r="D41" i="6"/>
  <c r="D42" i="6" s="1"/>
  <c r="D46" i="6"/>
  <c r="D35" i="6"/>
  <c r="D37" i="6"/>
  <c r="D38" i="6" s="1"/>
  <c r="F20" i="6"/>
  <c r="F21" i="6" s="1"/>
  <c r="F27" i="6" s="1"/>
  <c r="F28" i="6" s="1"/>
  <c r="F18" i="6"/>
  <c r="F24" i="6"/>
  <c r="F25" i="6" s="1"/>
  <c r="B74" i="6"/>
  <c r="B69" i="6"/>
  <c r="B70" i="6" s="1"/>
  <c r="B65" i="6"/>
  <c r="B66" i="6" s="1"/>
  <c r="B79" i="6"/>
  <c r="C24" i="6"/>
  <c r="C25" i="6" s="1"/>
  <c r="C20" i="6"/>
  <c r="C21" i="6" s="1"/>
  <c r="C27" i="6" s="1"/>
  <c r="C28" i="6" s="1"/>
  <c r="C18" i="6"/>
  <c r="B9" i="2"/>
  <c r="B12" i="4" s="1"/>
  <c r="E7" i="2"/>
  <c r="F7" i="2" s="1"/>
  <c r="B7" i="4"/>
  <c r="C82" i="6" l="1"/>
  <c r="C83" i="6" s="1"/>
  <c r="C88" i="6"/>
  <c r="C89" i="6" s="1"/>
  <c r="C86" i="6"/>
  <c r="C87" i="6" s="1"/>
  <c r="C84" i="6"/>
  <c r="C85" i="6" s="1"/>
  <c r="H68" i="6"/>
  <c r="H90" i="6"/>
  <c r="H91" i="6" s="1"/>
  <c r="E68" i="6"/>
  <c r="E90" i="6"/>
  <c r="E91" i="6" s="1"/>
  <c r="J68" i="6"/>
  <c r="J90" i="6"/>
  <c r="J91" i="6" s="1"/>
  <c r="E40" i="6"/>
  <c r="E55" i="6"/>
  <c r="E56" i="6" s="1"/>
  <c r="E75" i="6"/>
  <c r="E92" i="6" s="1"/>
  <c r="E93" i="6" s="1"/>
  <c r="E73" i="6"/>
  <c r="C68" i="6"/>
  <c r="C90" i="6"/>
  <c r="C91" i="6" s="1"/>
  <c r="J80" i="6"/>
  <c r="J94" i="6" s="1"/>
  <c r="J95" i="6" s="1"/>
  <c r="J78" i="6"/>
  <c r="E51" i="6"/>
  <c r="E52" i="6" s="1"/>
  <c r="E49" i="6"/>
  <c r="E50" i="6" s="1"/>
  <c r="E53" i="6"/>
  <c r="E54" i="6" s="1"/>
  <c r="C49" i="6"/>
  <c r="C50" i="6" s="1"/>
  <c r="C51" i="6"/>
  <c r="C52" i="6" s="1"/>
  <c r="C53" i="6"/>
  <c r="C54" i="6" s="1"/>
  <c r="E82" i="6"/>
  <c r="E83" i="6" s="1"/>
  <c r="E88" i="6"/>
  <c r="E89" i="6" s="1"/>
  <c r="E84" i="6"/>
  <c r="E85" i="6" s="1"/>
  <c r="E86" i="6"/>
  <c r="E87" i="6" s="1"/>
  <c r="C80" i="6"/>
  <c r="C94" i="6" s="1"/>
  <c r="C95" i="6" s="1"/>
  <c r="C78" i="6"/>
  <c r="J86" i="6"/>
  <c r="J87" i="6" s="1"/>
  <c r="J88" i="6"/>
  <c r="J89" i="6" s="1"/>
  <c r="J82" i="6"/>
  <c r="J83" i="6" s="1"/>
  <c r="J84" i="6"/>
  <c r="J85" i="6" s="1"/>
  <c r="F40" i="6"/>
  <c r="F55" i="6"/>
  <c r="F56" i="6" s="1"/>
  <c r="J40" i="6"/>
  <c r="J55" i="6"/>
  <c r="J56" i="6" s="1"/>
  <c r="H78" i="6"/>
  <c r="H80" i="6"/>
  <c r="H94" i="6" s="1"/>
  <c r="H95" i="6" s="1"/>
  <c r="F47" i="6"/>
  <c r="F57" i="6" s="1"/>
  <c r="F58" i="6" s="1"/>
  <c r="F45" i="6"/>
  <c r="F63" i="6" s="1"/>
  <c r="F78" i="6"/>
  <c r="F80" i="6"/>
  <c r="F94" i="6" s="1"/>
  <c r="F95" i="6" s="1"/>
  <c r="H47" i="6"/>
  <c r="H57" i="6" s="1"/>
  <c r="H58" i="6" s="1"/>
  <c r="H45" i="6"/>
  <c r="H63" i="6" s="1"/>
  <c r="J29" i="6"/>
  <c r="J30" i="6" s="1"/>
  <c r="J23" i="6"/>
  <c r="D45" i="6"/>
  <c r="D63" i="6" s="1"/>
  <c r="D47" i="6"/>
  <c r="D57" i="6" s="1"/>
  <c r="D58" i="6" s="1"/>
  <c r="F68" i="6"/>
  <c r="F90" i="6"/>
  <c r="F91" i="6" s="1"/>
  <c r="G47" i="6"/>
  <c r="G57" i="6" s="1"/>
  <c r="G58" i="6" s="1"/>
  <c r="G45" i="6"/>
  <c r="G63" i="6" s="1"/>
  <c r="I75" i="6"/>
  <c r="I92" i="6" s="1"/>
  <c r="I93" i="6" s="1"/>
  <c r="I73" i="6"/>
  <c r="H51" i="6"/>
  <c r="H52" i="6" s="1"/>
  <c r="H49" i="6"/>
  <c r="H50" i="6" s="1"/>
  <c r="H53" i="6"/>
  <c r="H54" i="6" s="1"/>
  <c r="D51" i="6"/>
  <c r="D52" i="6" s="1"/>
  <c r="D53" i="6"/>
  <c r="D54" i="6" s="1"/>
  <c r="D49" i="6"/>
  <c r="D50" i="6" s="1"/>
  <c r="D40" i="6"/>
  <c r="D55" i="6"/>
  <c r="D56" i="6" s="1"/>
  <c r="C40" i="6"/>
  <c r="C55" i="6"/>
  <c r="C56" i="6" s="1"/>
  <c r="B45" i="6"/>
  <c r="B63" i="6" s="1"/>
  <c r="B47" i="6"/>
  <c r="B57" i="6" s="1"/>
  <c r="B58" i="6" s="1"/>
  <c r="I80" i="6"/>
  <c r="I94" i="6" s="1"/>
  <c r="I95" i="6" s="1"/>
  <c r="I78" i="6"/>
  <c r="E29" i="6"/>
  <c r="E30" i="6" s="1"/>
  <c r="E23" i="6"/>
  <c r="B88" i="6"/>
  <c r="B89" i="6" s="1"/>
  <c r="B84" i="6"/>
  <c r="B85" i="6" s="1"/>
  <c r="B82" i="6"/>
  <c r="B83" i="6" s="1"/>
  <c r="B86" i="6"/>
  <c r="B87" i="6" s="1"/>
  <c r="D84" i="6"/>
  <c r="D85" i="6" s="1"/>
  <c r="D86" i="6"/>
  <c r="D87" i="6" s="1"/>
  <c r="D88" i="6"/>
  <c r="D89" i="6" s="1"/>
  <c r="D82" i="6"/>
  <c r="D83" i="6" s="1"/>
  <c r="C45" i="6"/>
  <c r="C63" i="6" s="1"/>
  <c r="C47" i="6"/>
  <c r="C57" i="6" s="1"/>
  <c r="C58" i="6" s="1"/>
  <c r="F88" i="6"/>
  <c r="F89" i="6" s="1"/>
  <c r="F84" i="6"/>
  <c r="F85" i="6" s="1"/>
  <c r="F82" i="6"/>
  <c r="F83" i="6" s="1"/>
  <c r="F86" i="6"/>
  <c r="F87" i="6" s="1"/>
  <c r="D29" i="6"/>
  <c r="D30" i="6" s="1"/>
  <c r="D23" i="6"/>
  <c r="G40" i="6"/>
  <c r="G55" i="6"/>
  <c r="G56" i="6" s="1"/>
  <c r="H40" i="6"/>
  <c r="H55" i="6"/>
  <c r="H56" i="6" s="1"/>
  <c r="B78" i="6"/>
  <c r="B80" i="6"/>
  <c r="B94" i="6" s="1"/>
  <c r="B95" i="6" s="1"/>
  <c r="B53" i="6"/>
  <c r="B54" i="6" s="1"/>
  <c r="B49" i="6"/>
  <c r="B50" i="6" s="1"/>
  <c r="B51" i="6"/>
  <c r="B52" i="6" s="1"/>
  <c r="D68" i="6"/>
  <c r="D90" i="6"/>
  <c r="D91" i="6" s="1"/>
  <c r="I86" i="6"/>
  <c r="I87" i="6" s="1"/>
  <c r="I88" i="6"/>
  <c r="I89" i="6" s="1"/>
  <c r="I82" i="6"/>
  <c r="I83" i="6" s="1"/>
  <c r="I84" i="6"/>
  <c r="I85" i="6" s="1"/>
  <c r="I40" i="6"/>
  <c r="I55" i="6"/>
  <c r="I56" i="6" s="1"/>
  <c r="B40" i="6"/>
  <c r="B55" i="6"/>
  <c r="B56" i="6" s="1"/>
  <c r="D80" i="6"/>
  <c r="D94" i="6" s="1"/>
  <c r="D95" i="6" s="1"/>
  <c r="D78" i="6"/>
  <c r="G88" i="6"/>
  <c r="G89" i="6" s="1"/>
  <c r="G86" i="6"/>
  <c r="G87" i="6" s="1"/>
  <c r="G84" i="6"/>
  <c r="G85" i="6" s="1"/>
  <c r="G82" i="6"/>
  <c r="G83" i="6" s="1"/>
  <c r="G53" i="6"/>
  <c r="G54" i="6" s="1"/>
  <c r="G49" i="6"/>
  <c r="G50" i="6" s="1"/>
  <c r="G51" i="6"/>
  <c r="G52" i="6" s="1"/>
  <c r="I68" i="6"/>
  <c r="I90" i="6"/>
  <c r="I91" i="6" s="1"/>
  <c r="C23" i="6"/>
  <c r="C29" i="6"/>
  <c r="C30" i="6" s="1"/>
  <c r="F75" i="6"/>
  <c r="F92" i="6" s="1"/>
  <c r="F93" i="6" s="1"/>
  <c r="F73" i="6"/>
  <c r="D75" i="6"/>
  <c r="D92" i="6" s="1"/>
  <c r="D93" i="6" s="1"/>
  <c r="D73" i="6"/>
  <c r="E78" i="6"/>
  <c r="E80" i="6"/>
  <c r="E94" i="6" s="1"/>
  <c r="E95" i="6" s="1"/>
  <c r="B29" i="6"/>
  <c r="B30" i="6" s="1"/>
  <c r="B23" i="6"/>
  <c r="G73" i="6"/>
  <c r="G75" i="6"/>
  <c r="G92" i="6" s="1"/>
  <c r="G93" i="6" s="1"/>
  <c r="B68" i="6"/>
  <c r="B90" i="6"/>
  <c r="B91" i="6" s="1"/>
  <c r="I53" i="6"/>
  <c r="I54" i="6" s="1"/>
  <c r="I51" i="6"/>
  <c r="I52" i="6" s="1"/>
  <c r="I49" i="6"/>
  <c r="I50" i="6" s="1"/>
  <c r="H23" i="6"/>
  <c r="H29" i="6"/>
  <c r="H30" i="6" s="1"/>
  <c r="G68" i="6"/>
  <c r="G90" i="6"/>
  <c r="G91" i="6" s="1"/>
  <c r="B75" i="6"/>
  <c r="B92" i="6" s="1"/>
  <c r="B93" i="6" s="1"/>
  <c r="B73" i="6"/>
  <c r="I29" i="6"/>
  <c r="I30" i="6" s="1"/>
  <c r="I23" i="6"/>
  <c r="H73" i="6"/>
  <c r="H75" i="6"/>
  <c r="H92" i="6" s="1"/>
  <c r="H93" i="6" s="1"/>
  <c r="I47" i="6"/>
  <c r="I57" i="6" s="1"/>
  <c r="I58" i="6" s="1"/>
  <c r="I45" i="6"/>
  <c r="I63" i="6" s="1"/>
  <c r="J49" i="6"/>
  <c r="J50" i="6" s="1"/>
  <c r="J51" i="6"/>
  <c r="J52" i="6" s="1"/>
  <c r="J53" i="6"/>
  <c r="J54" i="6" s="1"/>
  <c r="F29" i="6"/>
  <c r="F30" i="6" s="1"/>
  <c r="F23" i="6"/>
  <c r="F51" i="6"/>
  <c r="F52" i="6" s="1"/>
  <c r="F49" i="6"/>
  <c r="F50" i="6" s="1"/>
  <c r="F53" i="6"/>
  <c r="F54" i="6" s="1"/>
  <c r="H88" i="6"/>
  <c r="H89" i="6" s="1"/>
  <c r="H84" i="6"/>
  <c r="H85" i="6" s="1"/>
  <c r="H86" i="6"/>
  <c r="H87" i="6" s="1"/>
  <c r="H82" i="6"/>
  <c r="H83" i="6" s="1"/>
  <c r="E45" i="6"/>
  <c r="E63" i="6" s="1"/>
  <c r="E47" i="6"/>
  <c r="E57" i="6" s="1"/>
  <c r="E58" i="6" s="1"/>
  <c r="J45" i="6"/>
  <c r="J47" i="6"/>
  <c r="J57" i="6" s="1"/>
  <c r="J58" i="6" s="1"/>
  <c r="G4" i="6"/>
  <c r="G26" i="6"/>
  <c r="C75" i="6"/>
  <c r="C92" i="6" s="1"/>
  <c r="C93" i="6" s="1"/>
  <c r="C73" i="6"/>
  <c r="J75" i="6"/>
  <c r="J92" i="6" s="1"/>
  <c r="J93" i="6" s="1"/>
  <c r="J73" i="6"/>
  <c r="G78" i="6"/>
  <c r="G80" i="6"/>
  <c r="G94" i="6" s="1"/>
  <c r="G95" i="6" s="1"/>
  <c r="D10" i="2"/>
  <c r="B10" i="2" s="1"/>
  <c r="B7" i="2"/>
  <c r="E26" i="6" l="1"/>
  <c r="E4" i="6"/>
  <c r="C26" i="6"/>
  <c r="C4" i="6"/>
  <c r="I4" i="6"/>
  <c r="I26" i="6"/>
  <c r="J26" i="6"/>
  <c r="J4" i="6"/>
  <c r="F4" i="6"/>
  <c r="F26" i="6"/>
  <c r="B4" i="6"/>
  <c r="B26" i="6"/>
  <c r="H4" i="6"/>
  <c r="H26" i="6"/>
  <c r="D26" i="6"/>
  <c r="D4" i="6"/>
  <c r="B8" i="2"/>
  <c r="B9" i="4" s="1"/>
  <c r="D12" i="2"/>
  <c r="E12" i="2" s="1"/>
  <c r="B12" i="2" s="1"/>
  <c r="B10" i="4"/>
  <c r="B13" i="2" l="1"/>
  <c r="B11" i="2" s="1"/>
  <c r="B13" i="4" s="1"/>
  <c r="E10" i="2"/>
  <c r="F10" i="2" s="1"/>
  <c r="B14" i="4"/>
  <c r="B18" i="4"/>
  <c r="B16" i="4" l="1"/>
  <c r="B17" i="4" s="1"/>
  <c r="T3" i="8"/>
  <c r="P3" i="8"/>
  <c r="S3" i="8"/>
  <c r="W2" i="8"/>
  <c r="U26" i="7"/>
  <c r="U44" i="8"/>
  <c r="P2" i="7"/>
  <c r="T2" i="8"/>
  <c r="R2" i="8"/>
  <c r="P23" i="8"/>
  <c r="R2" i="7"/>
  <c r="N2" i="7"/>
  <c r="W3" i="8" l="1"/>
  <c r="V26" i="7"/>
  <c r="T44" i="8"/>
  <c r="T26" i="7"/>
  <c r="O3" i="8"/>
  <c r="W44" i="8"/>
  <c r="P44" i="8"/>
  <c r="V2" i="7"/>
  <c r="W23" i="8"/>
  <c r="T45" i="8"/>
  <c r="U23" i="8"/>
  <c r="Q2" i="7"/>
  <c r="T2" i="7"/>
  <c r="U2" i="8"/>
  <c r="S45" i="8"/>
  <c r="S44" i="8"/>
  <c r="V2" i="8"/>
  <c r="U3" i="8"/>
  <c r="S2" i="8"/>
  <c r="V23" i="8"/>
  <c r="T27" i="7"/>
  <c r="V44" i="8"/>
  <c r="R26" i="7"/>
  <c r="U2" i="7"/>
  <c r="S23" i="8"/>
  <c r="P45" i="8"/>
  <c r="R3" i="8"/>
  <c r="R23" i="8"/>
  <c r="S26" i="7"/>
  <c r="N26" i="7"/>
  <c r="O23" i="8"/>
  <c r="O2" i="8"/>
  <c r="R44" i="8"/>
  <c r="Q3" i="8"/>
  <c r="V45" i="8"/>
  <c r="P2" i="8"/>
  <c r="O2" i="7"/>
  <c r="Q26" i="7"/>
  <c r="T23" i="8"/>
  <c r="O26" i="7"/>
  <c r="S2" i="7"/>
  <c r="W45" i="8"/>
  <c r="Q2" i="8"/>
  <c r="P26" i="7"/>
  <c r="Q23" i="8"/>
  <c r="R45" i="8"/>
  <c r="Q44" i="8"/>
  <c r="O44" i="8"/>
  <c r="O24" i="8" a="1"/>
  <c r="O24" i="8" s="1"/>
  <c r="O45" i="8"/>
  <c r="U45" i="8"/>
  <c r="Q45" i="8"/>
  <c r="V3" i="8"/>
  <c r="P4" i="8" l="1"/>
  <c r="O27" i="7"/>
  <c r="T3" i="7"/>
  <c r="V3" i="7"/>
  <c r="W4" i="8"/>
  <c r="V4" i="8"/>
  <c r="T4" i="8"/>
  <c r="Q4" i="8"/>
  <c r="U27" i="7"/>
  <c r="S3" i="7"/>
  <c r="P27" i="7"/>
  <c r="P3" i="7"/>
  <c r="S28" i="7"/>
  <c r="V27" i="7" l="1"/>
  <c r="U4" i="8"/>
  <c r="O3" i="7"/>
  <c r="U3" i="7"/>
  <c r="O4" i="8"/>
  <c r="S27" i="7"/>
  <c r="N27" i="7"/>
  <c r="N3" i="7"/>
  <c r="S4" i="8"/>
  <c r="O47" i="8"/>
  <c r="N28" i="7"/>
  <c r="W25" i="8"/>
  <c r="S4" i="7"/>
  <c r="T26" i="8"/>
  <c r="Q28" i="7"/>
  <c r="V28" i="7"/>
  <c r="S25" i="8"/>
  <c r="R28" i="7"/>
  <c r="R25" i="8"/>
  <c r="R27" i="7"/>
  <c r="R3" i="7"/>
  <c r="U28" i="7"/>
  <c r="T25" i="8"/>
  <c r="Q27" i="7"/>
  <c r="Q3" i="7"/>
  <c r="O25" i="8"/>
  <c r="V25" i="8"/>
  <c r="R4" i="8"/>
  <c r="T28" i="7" l="1"/>
  <c r="O46" i="8"/>
  <c r="O30" i="7"/>
  <c r="R30" i="7"/>
  <c r="T30" i="7"/>
  <c r="V30" i="7"/>
  <c r="Q30" i="7"/>
  <c r="P30" i="7"/>
  <c r="S30" i="7"/>
  <c r="U30" i="7"/>
  <c r="U25" i="8"/>
  <c r="U29" i="7"/>
  <c r="N29" i="7"/>
  <c r="V46" i="8"/>
  <c r="P28" i="7"/>
  <c r="T4" i="7"/>
  <c r="Q25" i="8"/>
  <c r="R46" i="8"/>
  <c r="O26" i="8"/>
  <c r="P47" i="8"/>
  <c r="R47" i="8"/>
  <c r="P25" i="8"/>
  <c r="N4" i="7"/>
  <c r="S46" i="8"/>
  <c r="P46" i="8"/>
  <c r="S26" i="8"/>
  <c r="R4" i="7"/>
  <c r="Q29" i="7"/>
  <c r="T47" i="8"/>
  <c r="U4" i="7"/>
  <c r="R26" i="8"/>
  <c r="O29" i="7"/>
  <c r="W26" i="8"/>
  <c r="V4" i="7"/>
  <c r="V48" i="8"/>
  <c r="O48" i="8"/>
  <c r="V26" i="8"/>
  <c r="O28" i="7"/>
  <c r="T46" i="8"/>
  <c r="Q4" i="7"/>
  <c r="V47" i="8"/>
  <c r="S29" i="7"/>
  <c r="U26" i="8" l="1"/>
  <c r="N30" i="7"/>
  <c r="R29" i="7"/>
  <c r="S47" i="8"/>
  <c r="U46" i="8"/>
  <c r="P4" i="7"/>
  <c r="T29" i="7"/>
  <c r="Q26" i="8"/>
  <c r="U47" i="8"/>
  <c r="P29" i="7"/>
  <c r="T48" i="8"/>
  <c r="W46" i="8"/>
  <c r="P48" i="8"/>
  <c r="Q46" i="8"/>
  <c r="W47" i="8"/>
  <c r="S48" i="8"/>
  <c r="V29" i="7"/>
  <c r="Q47" i="8"/>
  <c r="O4" i="7"/>
  <c r="R48" i="8"/>
  <c r="P26" i="8"/>
  <c r="U48" i="8" l="1"/>
  <c r="W48" i="8"/>
  <c r="Q48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<sst xmlns="http://schemas.openxmlformats.org/spreadsheetml/2006/main" count="173" uniqueCount="114">
  <si>
    <t>PARENT SHARE OF COST (PSOC) ESTIMATION CALCULATOR (BCY2027)</t>
  </si>
  <si>
    <t>More Information</t>
  </si>
  <si>
    <t>1. Enter Household Family Size (Required)</t>
  </si>
  <si>
    <t>What is the definition of Family Size and Household Dependents: §809.2(12)-(13)</t>
  </si>
  <si>
    <t>2. Enter Monthly Income (Required)</t>
  </si>
  <si>
    <t>What income is excluded from family income: §809.44</t>
  </si>
  <si>
    <t>3. Enter Children Receiving Child Care (Required)</t>
  </si>
  <si>
    <t>Number of children receiving care must be less than the family size</t>
  </si>
  <si>
    <t>Percent State Median Income (SMI)</t>
  </si>
  <si>
    <t>Cannot be greater than 85% to be eligible: §809.41</t>
  </si>
  <si>
    <t>Is the Family Eligible?</t>
  </si>
  <si>
    <t>PSoC Monthly Amount for One Child in Care (Est.)</t>
  </si>
  <si>
    <t xml:space="preserve">PSoC Percent of Income for One Child </t>
  </si>
  <si>
    <t>Cannot be greater than 7% of family income: §809.19</t>
  </si>
  <si>
    <t>Additional Children in Care</t>
  </si>
  <si>
    <t>PSoC Monthly Amount for the Additional Children (Est.)</t>
  </si>
  <si>
    <t>PSoC Percent of Income for Additional Children</t>
  </si>
  <si>
    <t>Total Monthly PSoC Amount (Est.)</t>
  </si>
  <si>
    <t>Total Weekly PSoC Amount (Est.)</t>
  </si>
  <si>
    <t>Total PSoC as a Percent of Income</t>
  </si>
  <si>
    <t>Family Size of 2</t>
  </si>
  <si>
    <t>% SMI</t>
  </si>
  <si>
    <t>Monthly Income</t>
  </si>
  <si>
    <t>Monthly PSoC - 1 Child</t>
  </si>
  <si>
    <t>Family Size of 3</t>
  </si>
  <si>
    <t>Montly Income</t>
  </si>
  <si>
    <t>Monthly PSoC - 2 Children</t>
  </si>
  <si>
    <t>Family Size of 4</t>
  </si>
  <si>
    <t>Monthly PSoC - 3 Children</t>
  </si>
  <si>
    <t>Parent Share of Cost (PSoC) Sliding Fee Scale (BCY2027)</t>
  </si>
  <si>
    <t>% State Median Income (SMI)</t>
  </si>
  <si>
    <t>PSoC as a % of Income - 1 Child</t>
  </si>
  <si>
    <t>% Add-on for Each Additional Child</t>
  </si>
  <si>
    <t>FAMILY SIZE 2:</t>
  </si>
  <si>
    <t xml:space="preserve">% SMI </t>
  </si>
  <si>
    <t xml:space="preserve">PSoC % of Income No Cap </t>
  </si>
  <si>
    <t xml:space="preserve">PSoC 7% Cap </t>
  </si>
  <si>
    <t xml:space="preserve">PSoC </t>
  </si>
  <si>
    <t>Weekly PSoC - 1 Child</t>
  </si>
  <si>
    <t>FAMILY SIZE 3:</t>
  </si>
  <si>
    <t>PSoC % of Income No Cap</t>
  </si>
  <si>
    <t>PSoC 7% Cap</t>
  </si>
  <si>
    <t>PSoC - 1st Child No Cap</t>
  </si>
  <si>
    <t>PSoC - 1st Child Cap</t>
  </si>
  <si>
    <t>PSoC % of Income-2nd Child No Cap</t>
  </si>
  <si>
    <t>PSoC % Income - 2nd Child 7% Cap</t>
  </si>
  <si>
    <t>Total PSoC % of Income No Cap (2 Child)</t>
  </si>
  <si>
    <t>Total PSoC 7% Cap (2 Child)</t>
  </si>
  <si>
    <t>Monthly PSoC - 2nd Child</t>
  </si>
  <si>
    <t>Weekly PSoC - 2 Children</t>
  </si>
  <si>
    <t>FAMILY SIZE 4:</t>
  </si>
  <si>
    <t>PSoC % of Income</t>
  </si>
  <si>
    <t>PSoC % of Income -2nd Child No Cap</t>
  </si>
  <si>
    <t>PSoC No Cap (2nd Child)</t>
  </si>
  <si>
    <t>PSoC % Income - 3rd Child No Cap</t>
  </si>
  <si>
    <t>PSoC % Income - 3rd Child 7% Cap</t>
  </si>
  <si>
    <t>Total PSoC % of Income No Cap (3 Child)</t>
  </si>
  <si>
    <t>Total PSoC 7% Cap (3 Child)</t>
  </si>
  <si>
    <t>PSoC No Cap (3rd Child)</t>
  </si>
  <si>
    <t>Monthly PSoC - 2 Child No Cap</t>
  </si>
  <si>
    <t>Monthly PSoC - 2 Child 7% Cap</t>
  </si>
  <si>
    <t>Monthly PSoC - 3 Child No Cap</t>
  </si>
  <si>
    <t>Monthly PSoC - 3 Child Cap</t>
  </si>
  <si>
    <t>Weekly PSoC - 3 Children</t>
  </si>
  <si>
    <t>FAMILY SIZE 5:</t>
  </si>
  <si>
    <t>% SMI (Calculation)</t>
  </si>
  <si>
    <t>PSoC % Income - 4th Child No Cap</t>
  </si>
  <si>
    <t>PSoC % Income - 4th Child 7% Cap</t>
  </si>
  <si>
    <t>Total PSoC % of Income No Cap (4 Child)</t>
  </si>
  <si>
    <t>Total PSoC 7% Cap (4 Child)</t>
  </si>
  <si>
    <t>PSoC No Cap (4th Child)</t>
  </si>
  <si>
    <t>Monthly PSoC - 4 Child No Cap</t>
  </si>
  <si>
    <t>Monthly PSoC - 4 Child Cap</t>
  </si>
  <si>
    <t>Monthly PSoC - 4 Children</t>
  </si>
  <si>
    <t>Weekly PSoC - 4 Children</t>
  </si>
  <si>
    <t>Use the PSoC Calculator to calculate the PSoC amount for your family size, monthly income and the number of children in care.</t>
  </si>
  <si>
    <t>Family Size</t>
  </si>
  <si>
    <t>100% SMI per Family Size</t>
  </si>
  <si>
    <t>Monthly</t>
  </si>
  <si>
    <t>Rounded</t>
  </si>
  <si>
    <t>100% Annual</t>
  </si>
  <si>
    <t>1st Child</t>
  </si>
  <si>
    <t>% Add-on Each Add'l Child</t>
  </si>
  <si>
    <t>SMI</t>
  </si>
  <si>
    <t>1 Child</t>
  </si>
  <si>
    <t>2 Children</t>
  </si>
  <si>
    <t>3 Children</t>
  </si>
  <si>
    <t>4 Children</t>
  </si>
  <si>
    <t>PARENT SHARE OF COST CALCULATOR</t>
  </si>
  <si>
    <t>Calculations</t>
  </si>
  <si>
    <t>Notes</t>
  </si>
  <si>
    <t>Enter Family Size</t>
  </si>
  <si>
    <t>1. Enter Family Size</t>
  </si>
  <si>
    <t>Enter Monthly Income</t>
  </si>
  <si>
    <t>2. Enter Monthly Income</t>
  </si>
  <si>
    <t>Enter Children In Care</t>
  </si>
  <si>
    <t>3. Enter Children Receiving CCS (must be less than the family size)</t>
  </si>
  <si>
    <t>4. % SMI for family size and income</t>
  </si>
  <si>
    <t>Family Eligible</t>
  </si>
  <si>
    <t>5. Not eligible if % SMI is greater than 85%</t>
  </si>
  <si>
    <t>PSoC% - 1 Child</t>
  </si>
  <si>
    <t xml:space="preserve">6. If eligible (B6) and income is less than 1% SMI (B8), D7: % SMI minus 1 to get 1% to 0, multiply result by .066%, add 2 percentage points to start scale at 2% of income.E2: if B6 is not eligible, result is null; if eligible, result is D7 calculation; F7: if D7 result is greater than 7%, cap result at 7% of income </t>
  </si>
  <si>
    <t>PSoC - 1 Child</t>
  </si>
  <si>
    <t>7. If eligible (B6), multiply monthly income (B3) by PSoC % income result for the first child (B7), rounded to nearest $</t>
  </si>
  <si>
    <t>Add'l Children</t>
  </si>
  <si>
    <t>8. If eligible (B6), additional children = children in care minus the first child</t>
  </si>
  <si>
    <t>PSoC% Add'l Children</t>
  </si>
  <si>
    <t>9. If eligible (B6), perform calcuation at D10. D10: if % for 1 child is 7%, then no additional amount; if less than 7%, then multiply % SMI (B5) by 1.5% for addt'l child, multiply result by the total number of additional children (B9).  E10: Yes, if total PSoC% (B7+B10) is greater than 7%, No, if less than 7%. F10: if total PSoC% is less than 7%, then result is the additional child calculation at D10</t>
  </si>
  <si>
    <t>PSoC - Add'l Children</t>
  </si>
  <si>
    <t>12. If eligible (B6), subtract the PSoC amount for 1 child (B8) from the total PSoC (B13) to get the amount for additional children</t>
  </si>
  <si>
    <t>Total PSoC %</t>
  </si>
  <si>
    <t>10. If elgibile (B6), D12: add PSoC % for 1 child (B7) , plus the PSoC % for additional children (B10) to get the total PSoC%; E12: if total PSoC% (D12) is greater than 7%, cap the % at 7%.</t>
  </si>
  <si>
    <t>TOTAL PSOC</t>
  </si>
  <si>
    <t>11. If eligible (B6), multiply the total PSoC % (B12) by monthly income (B3) to get the total PSoC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</si>
</sst>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&quot;$&quot;* #,##0_);_(&quot;$&quot;* \(#,##0\);_(&quot;$&quot;* &quot;-&quot;??_);_(@_)"/>
    <numFmt numFmtId="166" formatCode="0.0000%"/>
    <numFmt numFmtId="167" formatCode="0.000%"/>
    <numFmt numFmtId="168" formatCode="&quot;$&quot;#,##0"/>
    <numFmt numFmtId="169" formatCode="&quot;$&quot;#,##0.00"/>
    <numFmt numFmtId="170" formatCode="0.000000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2" fontId="0" fillId="0" borderId="0" xfId="0" applyNumberFormat="1"/>
    <xf numFmtId="10" fontId="0" fillId="0" borderId="0" xfId="0" applyNumberFormat="1"/>
    <xf numFmtId="44" fontId="0" fillId="0" borderId="0" xfId="0" applyNumberFormat="1"/>
    <xf numFmtId="164" fontId="0" fillId="0" borderId="0" xfId="0" quotePrefix="1" applyNumberFormat="1"/>
    <xf numFmtId="0" fontId="0" fillId="0" borderId="0" xfId="0" quotePrefix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4" borderId="7" xfId="0" applyFont="1" applyFill="1" applyBorder="1" applyAlignment="1" applyProtection="1">
      <alignment horizontal="right" vertical="center"/>
      <protection locked="0"/>
    </xf>
    <xf numFmtId="165" fontId="5" fillId="4" borderId="8" xfId="1" applyNumberFormat="1" applyFont="1" applyFill="1" applyBorder="1" applyAlignment="1" applyProtection="1">
      <alignment horizontal="right" vertical="center"/>
      <protection locked="0"/>
    </xf>
    <xf numFmtId="0" fontId="5" fillId="4" borderId="9" xfId="0" applyFont="1" applyFill="1" applyBorder="1" applyAlignment="1" applyProtection="1">
      <alignment horizontal="right" vertical="center"/>
      <protection locked="0"/>
    </xf>
    <xf numFmtId="10" fontId="5" fillId="0" borderId="7" xfId="2" applyNumberFormat="1" applyFont="1" applyBorder="1" applyAlignment="1" applyProtection="1">
      <alignment horizontal="right" vertical="center"/>
    </xf>
    <xf numFmtId="44" fontId="5" fillId="3" borderId="7" xfId="1" applyFont="1" applyFill="1" applyBorder="1" applyAlignment="1" applyProtection="1">
      <alignment horizontal="right" vertical="center"/>
    </xf>
    <xf numFmtId="10" fontId="5" fillId="0" borderId="9" xfId="2" applyNumberFormat="1" applyFont="1" applyBorder="1" applyAlignment="1" applyProtection="1">
      <alignment horizontal="right" vertical="center"/>
    </xf>
    <xf numFmtId="0" fontId="5" fillId="0" borderId="7" xfId="0" applyFont="1" applyBorder="1" applyAlignment="1">
      <alignment horizontal="right" vertical="center"/>
    </xf>
    <xf numFmtId="44" fontId="5" fillId="3" borderId="8" xfId="0" applyNumberFormat="1" applyFont="1" applyFill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44" fontId="5" fillId="2" borderId="7" xfId="0" applyNumberFormat="1" applyFont="1" applyFill="1" applyBorder="1" applyAlignment="1">
      <alignment horizontal="right" vertical="center"/>
    </xf>
    <xf numFmtId="0" fontId="8" fillId="0" borderId="1" xfId="3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0" fontId="5" fillId="0" borderId="0" xfId="2" applyNumberFormat="1" applyFont="1" applyProtection="1"/>
    <xf numFmtId="166" fontId="5" fillId="0" borderId="0" xfId="2" applyNumberFormat="1" applyFont="1" applyProtection="1"/>
    <xf numFmtId="10" fontId="5" fillId="0" borderId="0" xfId="2" applyNumberFormat="1" applyFont="1" applyAlignment="1" applyProtection="1">
      <alignment horizontal="right" vertical="center"/>
    </xf>
    <xf numFmtId="0" fontId="0" fillId="0" borderId="1" xfId="0" applyBorder="1" applyAlignment="1">
      <alignment horizontal="left" vertical="center" wrapText="1"/>
    </xf>
    <xf numFmtId="167" fontId="0" fillId="0" borderId="0" xfId="2" applyNumberFormat="1" applyFont="1" applyFill="1" applyBorder="1" applyProtection="1"/>
    <xf numFmtId="0" fontId="0" fillId="0" borderId="0" xfId="0" applyAlignment="1">
      <alignment horizontal="right"/>
    </xf>
    <xf numFmtId="10" fontId="0" fillId="0" borderId="0" xfId="2" applyNumberFormat="1" applyFont="1" applyFill="1" applyBorder="1" applyProtection="1"/>
    <xf numFmtId="44" fontId="0" fillId="0" borderId="0" xfId="1" applyFont="1" applyFill="1" applyBorder="1" applyProtection="1"/>
    <xf numFmtId="168" fontId="0" fillId="0" borderId="0" xfId="1" applyNumberFormat="1" applyFont="1" applyFill="1" applyBorder="1" applyProtection="1"/>
    <xf numFmtId="0" fontId="2" fillId="0" borderId="0" xfId="0" applyFont="1" applyAlignment="1">
      <alignment horizontal="right"/>
    </xf>
    <xf numFmtId="1" fontId="0" fillId="0" borderId="0" xfId="0" applyNumberFormat="1"/>
    <xf numFmtId="167" fontId="0" fillId="0" borderId="0" xfId="2" applyNumberFormat="1" applyFont="1" applyProtection="1"/>
    <xf numFmtId="0" fontId="12" fillId="0" borderId="0" xfId="0" applyFont="1"/>
    <xf numFmtId="169" fontId="12" fillId="6" borderId="1" xfId="1" applyNumberFormat="1" applyFont="1" applyFill="1" applyBorder="1" applyProtection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4" fontId="5" fillId="0" borderId="0" xfId="0" applyNumberFormat="1" applyFont="1"/>
    <xf numFmtId="0" fontId="5" fillId="0" borderId="10" xfId="0" applyFont="1" applyBorder="1" applyAlignment="1">
      <alignment horizontal="left" vertical="center"/>
    </xf>
    <xf numFmtId="44" fontId="5" fillId="2" borderId="1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67" fontId="0" fillId="0" borderId="0" xfId="0" applyNumberFormat="1"/>
    <xf numFmtId="170" fontId="0" fillId="0" borderId="0" xfId="0" applyNumberFormat="1"/>
    <xf numFmtId="9" fontId="0" fillId="0" borderId="0" xfId="0" applyNumberFormat="1"/>
    <xf numFmtId="169" fontId="0" fillId="0" borderId="0" xfId="0" applyNumberFormat="1"/>
    <xf numFmtId="168" fontId="0" fillId="0" borderId="0" xfId="0" applyNumberFormat="1"/>
    <xf numFmtId="164" fontId="0" fillId="0" borderId="0" xfId="0" applyNumberFormat="1"/>
    <xf numFmtId="167" fontId="0" fillId="0" borderId="0" xfId="2" applyNumberFormat="1" applyFont="1"/>
    <xf numFmtId="2" fontId="12" fillId="0" borderId="0" xfId="0" applyNumberFormat="1" applyFont="1"/>
    <xf numFmtId="167" fontId="12" fillId="7" borderId="1" xfId="2" applyNumberFormat="1" applyFont="1" applyFill="1" applyBorder="1" applyProtection="1"/>
    <xf numFmtId="168" fontId="2" fillId="0" borderId="13" xfId="1" applyNumberFormat="1" applyFont="1" applyFill="1" applyBorder="1" applyProtection="1"/>
    <xf numFmtId="168" fontId="2" fillId="0" borderId="14" xfId="1" applyNumberFormat="1" applyFont="1" applyFill="1" applyBorder="1" applyProtection="1"/>
    <xf numFmtId="168" fontId="2" fillId="0" borderId="15" xfId="1" applyNumberFormat="1" applyFont="1" applyFill="1" applyBorder="1" applyProtection="1"/>
    <xf numFmtId="167" fontId="12" fillId="7" borderId="16" xfId="2" applyNumberFormat="1" applyFont="1" applyFill="1" applyBorder="1" applyProtection="1"/>
    <xf numFmtId="167" fontId="12" fillId="7" borderId="17" xfId="2" applyNumberFormat="1" applyFont="1" applyFill="1" applyBorder="1" applyProtection="1"/>
    <xf numFmtId="169" fontId="12" fillId="6" borderId="16" xfId="1" applyNumberFormat="1" applyFont="1" applyFill="1" applyBorder="1" applyProtection="1"/>
    <xf numFmtId="169" fontId="12" fillId="6" borderId="17" xfId="1" applyNumberFormat="1" applyFont="1" applyFill="1" applyBorder="1" applyProtection="1"/>
    <xf numFmtId="0" fontId="12" fillId="7" borderId="12" xfId="0" applyFont="1" applyFill="1" applyBorder="1" applyAlignment="1">
      <alignment horizontal="right"/>
    </xf>
    <xf numFmtId="0" fontId="12" fillId="7" borderId="10" xfId="0" applyFont="1" applyFill="1" applyBorder="1" applyAlignment="1">
      <alignment horizontal="right"/>
    </xf>
    <xf numFmtId="0" fontId="12" fillId="7" borderId="24" xfId="0" applyFont="1" applyFill="1" applyBorder="1" applyAlignment="1">
      <alignment horizontal="right"/>
    </xf>
    <xf numFmtId="167" fontId="12" fillId="7" borderId="18" xfId="2" applyNumberFormat="1" applyFont="1" applyFill="1" applyBorder="1" applyProtection="1"/>
    <xf numFmtId="167" fontId="12" fillId="7" borderId="19" xfId="2" applyNumberFormat="1" applyFont="1" applyFill="1" applyBorder="1" applyProtection="1"/>
    <xf numFmtId="167" fontId="12" fillId="7" borderId="20" xfId="2" applyNumberFormat="1" applyFont="1" applyFill="1" applyBorder="1" applyProtection="1"/>
    <xf numFmtId="0" fontId="12" fillId="6" borderId="12" xfId="0" applyFont="1" applyFill="1" applyBorder="1" applyAlignment="1">
      <alignment horizontal="right"/>
    </xf>
    <xf numFmtId="169" fontId="12" fillId="6" borderId="13" xfId="1" applyNumberFormat="1" applyFont="1" applyFill="1" applyBorder="1" applyProtection="1"/>
    <xf numFmtId="169" fontId="12" fillId="6" borderId="14" xfId="1" applyNumberFormat="1" applyFont="1" applyFill="1" applyBorder="1" applyProtection="1"/>
    <xf numFmtId="169" fontId="12" fillId="6" borderId="15" xfId="1" applyNumberFormat="1" applyFont="1" applyFill="1" applyBorder="1" applyProtection="1"/>
    <xf numFmtId="0" fontId="12" fillId="6" borderId="24" xfId="0" applyFont="1" applyFill="1" applyBorder="1" applyAlignment="1">
      <alignment horizontal="right"/>
    </xf>
    <xf numFmtId="169" fontId="12" fillId="6" borderId="18" xfId="1" applyNumberFormat="1" applyFont="1" applyFill="1" applyBorder="1" applyProtection="1"/>
    <xf numFmtId="169" fontId="12" fillId="6" borderId="19" xfId="1" applyNumberFormat="1" applyFont="1" applyFill="1" applyBorder="1" applyProtection="1"/>
    <xf numFmtId="169" fontId="12" fillId="6" borderId="20" xfId="1" applyNumberFormat="1" applyFont="1" applyFill="1" applyBorder="1" applyProtection="1"/>
    <xf numFmtId="0" fontId="12" fillId="6" borderId="10" xfId="0" applyFont="1" applyFill="1" applyBorder="1" applyAlignment="1">
      <alignment horizontal="right"/>
    </xf>
    <xf numFmtId="9" fontId="0" fillId="0" borderId="0" xfId="2" applyFont="1"/>
    <xf numFmtId="167" fontId="13" fillId="0" borderId="1" xfId="2" applyNumberFormat="1" applyFont="1" applyBorder="1" applyAlignment="1">
      <alignment horizontal="right" vertical="center"/>
    </xf>
    <xf numFmtId="167" fontId="12" fillId="7" borderId="25" xfId="2" applyNumberFormat="1" applyFont="1" applyFill="1" applyBorder="1" applyProtection="1"/>
    <xf numFmtId="167" fontId="12" fillId="7" borderId="26" xfId="2" applyNumberFormat="1" applyFont="1" applyFill="1" applyBorder="1" applyProtection="1"/>
    <xf numFmtId="169" fontId="12" fillId="6" borderId="27" xfId="4" applyNumberFormat="1" applyFont="1" applyFill="1" applyBorder="1"/>
    <xf numFmtId="169" fontId="12" fillId="6" borderId="25" xfId="4" applyNumberFormat="1" applyFont="1" applyFill="1" applyBorder="1"/>
    <xf numFmtId="169" fontId="12" fillId="6" borderId="26" xfId="4" applyNumberFormat="1" applyFont="1" applyFill="1" applyBorder="1"/>
    <xf numFmtId="167" fontId="12" fillId="8" borderId="1" xfId="2" applyNumberFormat="1" applyFont="1" applyFill="1" applyBorder="1"/>
    <xf numFmtId="167" fontId="12" fillId="8" borderId="1" xfId="2" applyNumberFormat="1" applyFont="1" applyFill="1" applyBorder="1" applyProtection="1"/>
    <xf numFmtId="169" fontId="12" fillId="9" borderId="1" xfId="4" applyNumberFormat="1" applyFont="1" applyFill="1" applyBorder="1"/>
    <xf numFmtId="0" fontId="12" fillId="8" borderId="12" xfId="0" applyFont="1" applyFill="1" applyBorder="1" applyAlignment="1">
      <alignment horizontal="right"/>
    </xf>
    <xf numFmtId="167" fontId="12" fillId="8" borderId="14" xfId="2" applyNumberFormat="1" applyFont="1" applyFill="1" applyBorder="1"/>
    <xf numFmtId="167" fontId="12" fillId="8" borderId="15" xfId="2" applyNumberFormat="1" applyFont="1" applyFill="1" applyBorder="1"/>
    <xf numFmtId="0" fontId="12" fillId="8" borderId="10" xfId="0" applyFont="1" applyFill="1" applyBorder="1" applyAlignment="1">
      <alignment horizontal="right"/>
    </xf>
    <xf numFmtId="167" fontId="12" fillId="8" borderId="17" xfId="2" applyNumberFormat="1" applyFont="1" applyFill="1" applyBorder="1" applyProtection="1"/>
    <xf numFmtId="0" fontId="12" fillId="8" borderId="24" xfId="0" applyFont="1" applyFill="1" applyBorder="1" applyAlignment="1">
      <alignment horizontal="right"/>
    </xf>
    <xf numFmtId="167" fontId="12" fillId="8" borderId="19" xfId="2" applyNumberFormat="1" applyFont="1" applyFill="1" applyBorder="1" applyProtection="1"/>
    <xf numFmtId="167" fontId="12" fillId="8" borderId="20" xfId="2" applyNumberFormat="1" applyFont="1" applyFill="1" applyBorder="1" applyProtection="1"/>
    <xf numFmtId="167" fontId="12" fillId="8" borderId="13" xfId="2" applyNumberFormat="1" applyFont="1" applyFill="1" applyBorder="1"/>
    <xf numFmtId="167" fontId="12" fillId="8" borderId="16" xfId="2" applyNumberFormat="1" applyFont="1" applyFill="1" applyBorder="1" applyProtection="1"/>
    <xf numFmtId="167" fontId="12" fillId="8" borderId="18" xfId="2" applyNumberFormat="1" applyFont="1" applyFill="1" applyBorder="1" applyProtection="1"/>
    <xf numFmtId="0" fontId="12" fillId="9" borderId="28" xfId="0" applyFont="1" applyFill="1" applyBorder="1" applyAlignment="1">
      <alignment horizontal="right"/>
    </xf>
    <xf numFmtId="169" fontId="12" fillId="9" borderId="29" xfId="4" applyNumberFormat="1" applyFont="1" applyFill="1" applyBorder="1"/>
    <xf numFmtId="169" fontId="12" fillId="9" borderId="30" xfId="4" applyNumberFormat="1" applyFont="1" applyFill="1" applyBorder="1"/>
    <xf numFmtId="167" fontId="12" fillId="7" borderId="27" xfId="2" applyNumberFormat="1" applyFont="1" applyFill="1" applyBorder="1" applyProtection="1"/>
    <xf numFmtId="169" fontId="12" fillId="9" borderId="31" xfId="4" applyNumberFormat="1" applyFont="1" applyFill="1" applyBorder="1"/>
    <xf numFmtId="167" fontId="12" fillId="7" borderId="21" xfId="2" applyNumberFormat="1" applyFont="1" applyFill="1" applyBorder="1" applyProtection="1"/>
    <xf numFmtId="167" fontId="12" fillId="7" borderId="22" xfId="2" applyNumberFormat="1" applyFont="1" applyFill="1" applyBorder="1" applyProtection="1"/>
    <xf numFmtId="167" fontId="12" fillId="7" borderId="23" xfId="2" applyNumberFormat="1" applyFont="1" applyFill="1" applyBorder="1" applyProtection="1"/>
    <xf numFmtId="169" fontId="12" fillId="9" borderId="1" xfId="2" applyNumberFormat="1" applyFont="1" applyFill="1" applyBorder="1" applyProtection="1"/>
    <xf numFmtId="167" fontId="12" fillId="10" borderId="1" xfId="2" applyNumberFormat="1" applyFont="1" applyFill="1" applyBorder="1" applyProtection="1"/>
    <xf numFmtId="169" fontId="12" fillId="11" borderId="1" xfId="2" applyNumberFormat="1" applyFont="1" applyFill="1" applyBorder="1" applyProtection="1"/>
    <xf numFmtId="167" fontId="14" fillId="13" borderId="1" xfId="2" applyNumberFormat="1" applyFont="1" applyFill="1" applyBorder="1" applyProtection="1"/>
    <xf numFmtId="169" fontId="14" fillId="12" borderId="1" xfId="2" applyNumberFormat="1" applyFont="1" applyFill="1" applyBorder="1" applyProtection="1"/>
    <xf numFmtId="167" fontId="12" fillId="8" borderId="16" xfId="2" applyNumberFormat="1" applyFont="1" applyFill="1" applyBorder="1"/>
    <xf numFmtId="167" fontId="12" fillId="8" borderId="17" xfId="2" applyNumberFormat="1" applyFont="1" applyFill="1" applyBorder="1"/>
    <xf numFmtId="169" fontId="12" fillId="9" borderId="16" xfId="2" applyNumberFormat="1" applyFont="1" applyFill="1" applyBorder="1" applyProtection="1"/>
    <xf numFmtId="169" fontId="12" fillId="9" borderId="17" xfId="2" applyNumberFormat="1" applyFont="1" applyFill="1" applyBorder="1" applyProtection="1"/>
    <xf numFmtId="167" fontId="12" fillId="10" borderId="16" xfId="2" applyNumberFormat="1" applyFont="1" applyFill="1" applyBorder="1" applyProtection="1"/>
    <xf numFmtId="167" fontId="12" fillId="10" borderId="17" xfId="2" applyNumberFormat="1" applyFont="1" applyFill="1" applyBorder="1" applyProtection="1"/>
    <xf numFmtId="169" fontId="12" fillId="11" borderId="16" xfId="2" applyNumberFormat="1" applyFont="1" applyFill="1" applyBorder="1" applyProtection="1"/>
    <xf numFmtId="169" fontId="12" fillId="11" borderId="17" xfId="2" applyNumberFormat="1" applyFont="1" applyFill="1" applyBorder="1" applyProtection="1"/>
    <xf numFmtId="169" fontId="12" fillId="9" borderId="16" xfId="4" applyNumberFormat="1" applyFont="1" applyFill="1" applyBorder="1"/>
    <xf numFmtId="169" fontId="12" fillId="9" borderId="17" xfId="4" applyNumberFormat="1" applyFont="1" applyFill="1" applyBorder="1"/>
    <xf numFmtId="167" fontId="14" fillId="13" borderId="16" xfId="2" applyNumberFormat="1" applyFont="1" applyFill="1" applyBorder="1" applyProtection="1"/>
    <xf numFmtId="167" fontId="14" fillId="13" borderId="17" xfId="2" applyNumberFormat="1" applyFont="1" applyFill="1" applyBorder="1" applyProtection="1"/>
    <xf numFmtId="169" fontId="14" fillId="12" borderId="16" xfId="2" applyNumberFormat="1" applyFont="1" applyFill="1" applyBorder="1" applyProtection="1"/>
    <xf numFmtId="169" fontId="14" fillId="12" borderId="17" xfId="2" applyNumberFormat="1" applyFont="1" applyFill="1" applyBorder="1" applyProtection="1"/>
    <xf numFmtId="0" fontId="0" fillId="5" borderId="0" xfId="0" applyFill="1"/>
    <xf numFmtId="165" fontId="10" fillId="5" borderId="0" xfId="1" applyNumberFormat="1" applyFont="1" applyFill="1" applyProtection="1"/>
    <xf numFmtId="168" fontId="12" fillId="0" borderId="21" xfId="4" applyNumberFormat="1" applyFont="1" applyFill="1" applyBorder="1"/>
    <xf numFmtId="168" fontId="12" fillId="0" borderId="22" xfId="4" applyNumberFormat="1" applyFont="1" applyFill="1" applyBorder="1"/>
    <xf numFmtId="168" fontId="12" fillId="0" borderId="23" xfId="4" applyNumberFormat="1" applyFont="1" applyFill="1" applyBorder="1"/>
    <xf numFmtId="168" fontId="12" fillId="0" borderId="18" xfId="4" applyNumberFormat="1" applyFont="1" applyBorder="1"/>
    <xf numFmtId="168" fontId="12" fillId="0" borderId="19" xfId="4" applyNumberFormat="1" applyFont="1" applyBorder="1"/>
    <xf numFmtId="168" fontId="12" fillId="0" borderId="20" xfId="4" applyNumberFormat="1" applyFont="1" applyBorder="1"/>
    <xf numFmtId="168" fontId="12" fillId="0" borderId="21" xfId="0" applyNumberFormat="1" applyFont="1" applyBorder="1"/>
    <xf numFmtId="168" fontId="12" fillId="0" borderId="22" xfId="0" applyNumberFormat="1" applyFont="1" applyBorder="1"/>
    <xf numFmtId="168" fontId="12" fillId="0" borderId="23" xfId="0" applyNumberFormat="1" applyFont="1" applyBorder="1"/>
    <xf numFmtId="168" fontId="12" fillId="0" borderId="16" xfId="0" applyNumberFormat="1" applyFont="1" applyBorder="1"/>
    <xf numFmtId="168" fontId="12" fillId="0" borderId="1" xfId="0" applyNumberFormat="1" applyFont="1" applyBorder="1"/>
    <xf numFmtId="168" fontId="12" fillId="0" borderId="17" xfId="0" applyNumberFormat="1" applyFont="1" applyBorder="1"/>
    <xf numFmtId="168" fontId="12" fillId="0" borderId="18" xfId="0" applyNumberFormat="1" applyFont="1" applyBorder="1"/>
    <xf numFmtId="168" fontId="12" fillId="0" borderId="19" xfId="0" applyNumberFormat="1" applyFont="1" applyBorder="1"/>
    <xf numFmtId="168" fontId="12" fillId="0" borderId="20" xfId="0" applyNumberFormat="1" applyFont="1" applyBorder="1"/>
    <xf numFmtId="168" fontId="2" fillId="0" borderId="21" xfId="1" applyNumberFormat="1" applyFont="1" applyFill="1" applyBorder="1" applyProtection="1"/>
    <xf numFmtId="168" fontId="2" fillId="0" borderId="22" xfId="1" applyNumberFormat="1" applyFont="1" applyFill="1" applyBorder="1" applyProtection="1"/>
    <xf numFmtId="168" fontId="2" fillId="0" borderId="23" xfId="1" applyNumberFormat="1" applyFont="1" applyFill="1" applyBorder="1" applyProtection="1"/>
    <xf numFmtId="0" fontId="11" fillId="5" borderId="28" xfId="0" applyFont="1" applyFill="1" applyBorder="1" applyAlignment="1">
      <alignment horizontal="right" vertical="center"/>
    </xf>
    <xf numFmtId="0" fontId="2" fillId="5" borderId="32" xfId="0" applyFont="1" applyFill="1" applyBorder="1"/>
    <xf numFmtId="0" fontId="0" fillId="5" borderId="32" xfId="0" applyFill="1" applyBorder="1"/>
    <xf numFmtId="0" fontId="11" fillId="5" borderId="32" xfId="0" applyFont="1" applyFill="1" applyBorder="1" applyAlignment="1">
      <alignment horizontal="left" vertical="center"/>
    </xf>
    <xf numFmtId="0" fontId="11" fillId="5" borderId="33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168" fontId="2" fillId="0" borderId="34" xfId="1" applyNumberFormat="1" applyFont="1" applyFill="1" applyBorder="1" applyProtection="1"/>
    <xf numFmtId="168" fontId="2" fillId="0" borderId="35" xfId="1" applyNumberFormat="1" applyFont="1" applyFill="1" applyBorder="1" applyProtection="1"/>
    <xf numFmtId="168" fontId="2" fillId="0" borderId="36" xfId="1" applyNumberFormat="1" applyFont="1" applyFill="1" applyBorder="1" applyProtection="1"/>
    <xf numFmtId="0" fontId="2" fillId="0" borderId="10" xfId="0" applyFont="1" applyBorder="1" applyAlignment="1">
      <alignment horizontal="right" vertical="center" wrapText="1"/>
    </xf>
    <xf numFmtId="167" fontId="13" fillId="0" borderId="17" xfId="2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12" fillId="9" borderId="10" xfId="0" applyFont="1" applyFill="1" applyBorder="1" applyAlignment="1">
      <alignment horizontal="right"/>
    </xf>
    <xf numFmtId="0" fontId="12" fillId="10" borderId="10" xfId="0" applyFont="1" applyFill="1" applyBorder="1" applyAlignment="1">
      <alignment horizontal="right"/>
    </xf>
    <xf numFmtId="0" fontId="12" fillId="11" borderId="10" xfId="0" applyFont="1" applyFill="1" applyBorder="1" applyAlignment="1">
      <alignment horizontal="right"/>
    </xf>
    <xf numFmtId="0" fontId="14" fillId="13" borderId="10" xfId="0" applyFont="1" applyFill="1" applyBorder="1" applyAlignment="1">
      <alignment horizontal="right"/>
    </xf>
    <xf numFmtId="0" fontId="14" fillId="12" borderId="10" xfId="0" applyFont="1" applyFill="1" applyBorder="1" applyAlignment="1">
      <alignment horizontal="right"/>
    </xf>
    <xf numFmtId="10" fontId="0" fillId="0" borderId="22" xfId="0" applyNumberFormat="1" applyBorder="1" applyAlignment="1">
      <alignment horizontal="right"/>
    </xf>
    <xf numFmtId="10" fontId="0" fillId="0" borderId="23" xfId="0" applyNumberFormat="1" applyBorder="1" applyAlignment="1">
      <alignment horizontal="right"/>
    </xf>
    <xf numFmtId="0" fontId="2" fillId="5" borderId="28" xfId="0" applyFont="1" applyFill="1" applyBorder="1" applyAlignment="1">
      <alignment horizontal="right" vertical="center" wrapText="1"/>
    </xf>
    <xf numFmtId="9" fontId="1" fillId="5" borderId="29" xfId="2" applyFont="1" applyFill="1" applyBorder="1" applyAlignment="1">
      <alignment horizontal="center"/>
    </xf>
    <xf numFmtId="9" fontId="1" fillId="5" borderId="30" xfId="2" applyFont="1" applyFill="1" applyBorder="1" applyAlignment="1">
      <alignment horizontal="center"/>
    </xf>
    <xf numFmtId="10" fontId="0" fillId="0" borderId="0" xfId="2" applyNumberFormat="1" applyFont="1" applyProtection="1"/>
    <xf numFmtId="166" fontId="0" fillId="0" borderId="0" xfId="2" applyNumberFormat="1" applyFont="1" applyProtection="1"/>
    <xf numFmtId="9" fontId="0" fillId="0" borderId="0" xfId="2" applyFont="1" applyProtection="1"/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Parent Share of Cost - Family Size of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One Child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'Income Charts'!$O$3:$W$3</c:f>
              <c:numCache>
                <c:formatCode>"$"#,##0</c:formatCode>
                <c:ptCount val="9"/>
                <c:pt idx="0">
                  <c:v>64</c:v>
                </c:pt>
                <c:pt idx="1">
                  <c:v>954</c:v>
                </c:pt>
                <c:pt idx="2">
                  <c:v>1590</c:v>
                </c:pt>
                <c:pt idx="3">
                  <c:v>2226</c:v>
                </c:pt>
                <c:pt idx="4">
                  <c:v>2862</c:v>
                </c:pt>
                <c:pt idx="5">
                  <c:v>3498</c:v>
                </c:pt>
                <c:pt idx="6">
                  <c:v>4134</c:v>
                </c:pt>
                <c:pt idx="7">
                  <c:v>4770</c:v>
                </c:pt>
                <c:pt idx="8">
                  <c:v>5406</c:v>
                </c:pt>
              </c:numCache>
            </c:numRef>
          </c:cat>
          <c:val>
            <c:numRef>
              <c:f>'Income Charts'!$O$4:$W$4</c:f>
              <c:numCache>
                <c:formatCode>"$"#,##0</c:formatCode>
                <c:ptCount val="9"/>
                <c:pt idx="0">
                  <c:v>1</c:v>
                </c:pt>
                <c:pt idx="1">
                  <c:v>28</c:v>
                </c:pt>
                <c:pt idx="2">
                  <c:v>57</c:v>
                </c:pt>
                <c:pt idx="3">
                  <c:v>95</c:v>
                </c:pt>
                <c:pt idx="4">
                  <c:v>141</c:v>
                </c:pt>
                <c:pt idx="5">
                  <c:v>196</c:v>
                </c:pt>
                <c:pt idx="6">
                  <c:v>259</c:v>
                </c:pt>
                <c:pt idx="7">
                  <c:v>330</c:v>
                </c:pt>
                <c:pt idx="8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F-4F1B-BF7B-3AFE2B571B0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0438111"/>
        <c:axId val="630438591"/>
      </c:lineChart>
      <c:catAx>
        <c:axId val="6304381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</a:t>
                </a:r>
                <a:r>
                  <a:rPr lang="en-US" baseline="0"/>
                  <a:t> FAMILY INCOME (1% - 85% SMI)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591"/>
        <c:crosses val="autoZero"/>
        <c:auto val="1"/>
        <c:lblAlgn val="ctr"/>
        <c:lblOffset val="100"/>
        <c:noMultiLvlLbl val="0"/>
      </c:catAx>
      <c:valAx>
        <c:axId val="63043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PARENT</a:t>
                </a:r>
                <a:r>
                  <a:rPr lang="en-US" baseline="0"/>
                  <a:t> SHARE OF OST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Parent Share of Cost - Family Size of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One Child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1.1022840119165808E-2"/>
                  <c:y val="8.39183505676248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9-48DB-97FA-7B3C7190B7BD}"/>
                </c:ext>
              </c:extLst>
            </c:dLbl>
            <c:dLbl>
              <c:idx val="2"/>
              <c:layout>
                <c:manualLayout>
                  <c:x val="-3.531943065210192E-2"/>
                  <c:y val="-4.515568837027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9-48DB-97FA-7B3C7190B7BD}"/>
                </c:ext>
              </c:extLst>
            </c:dLbl>
            <c:dLbl>
              <c:idx val="3"/>
              <c:layout>
                <c:manualLayout>
                  <c:x val="-3.5319430652102017E-2"/>
                  <c:y val="-5.519584901284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9-48DB-97FA-7B3C7190B7BD}"/>
                </c:ext>
              </c:extLst>
            </c:dLbl>
            <c:dLbl>
              <c:idx val="4"/>
              <c:layout>
                <c:manualLayout>
                  <c:x val="7.2492552135054013E-3"/>
                  <c:y val="4.1859037198663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9-48DB-97FA-7B3C7190B7BD}"/>
                </c:ext>
              </c:extLst>
            </c:dLbl>
            <c:dLbl>
              <c:idx val="5"/>
              <c:layout>
                <c:manualLayout>
                  <c:x val="-1.4266799073154585E-2"/>
                  <c:y val="4.1859037198663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9-48DB-97FA-7B3C7190B7BD}"/>
                </c:ext>
              </c:extLst>
            </c:dLbl>
            <c:dLbl>
              <c:idx val="6"/>
              <c:layout>
                <c:manualLayout>
                  <c:x val="3.939093015557762E-3"/>
                  <c:y val="3.5165596770283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9-48DB-97FA-7B3C7190B7BD}"/>
                </c:ext>
              </c:extLst>
            </c:dLbl>
            <c:dLbl>
              <c:idx val="7"/>
              <c:layout>
                <c:manualLayout>
                  <c:x val="-2.6812313803377579E-3"/>
                  <c:y val="3.8512316984473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9-48DB-97FA-7B3C7190B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'Income Charts'!$O$24:$W$24</c:f>
              <c:numCache>
                <c:formatCode>"$"#,##0</c:formatCode>
                <c:ptCount val="9"/>
                <c:pt idx="0">
                  <c:v>79</c:v>
                </c:pt>
                <c:pt idx="1">
                  <c:v>1179</c:v>
                </c:pt>
                <c:pt idx="2">
                  <c:v>1965</c:v>
                </c:pt>
                <c:pt idx="3">
                  <c:v>2750</c:v>
                </c:pt>
                <c:pt idx="4">
                  <c:v>3536</c:v>
                </c:pt>
                <c:pt idx="5">
                  <c:v>4322</c:v>
                </c:pt>
                <c:pt idx="6">
                  <c:v>5108</c:v>
                </c:pt>
                <c:pt idx="7">
                  <c:v>5893</c:v>
                </c:pt>
                <c:pt idx="8">
                  <c:v>6678</c:v>
                </c:pt>
              </c:numCache>
            </c:numRef>
          </c:cat>
          <c:val>
            <c:numRef>
              <c:f>'Income Charts'!$O$25:$W$25</c:f>
              <c:numCache>
                <c:formatCode>"$"#,##0</c:formatCode>
                <c:ptCount val="9"/>
                <c:pt idx="0">
                  <c:v>2</c:v>
                </c:pt>
                <c:pt idx="1">
                  <c:v>35</c:v>
                </c:pt>
                <c:pt idx="2">
                  <c:v>71</c:v>
                </c:pt>
                <c:pt idx="3">
                  <c:v>117</c:v>
                </c:pt>
                <c:pt idx="4">
                  <c:v>174</c:v>
                </c:pt>
                <c:pt idx="5">
                  <c:v>242</c:v>
                </c:pt>
                <c:pt idx="6">
                  <c:v>320</c:v>
                </c:pt>
                <c:pt idx="7">
                  <c:v>408</c:v>
                </c:pt>
                <c:pt idx="8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9-48DB-97FA-7B3C7190B7BD}"/>
            </c:ext>
          </c:extLst>
        </c:ser>
        <c:ser>
          <c:idx val="0"/>
          <c:order val="1"/>
          <c:tx>
            <c:v>Two Children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2009268454154256E-2"/>
                  <c:y val="-5.184912879865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9-48DB-97FA-7B3C7190B7BD}"/>
                </c:ext>
              </c:extLst>
            </c:dLbl>
            <c:dLbl>
              <c:idx val="2"/>
              <c:layout>
                <c:manualLayout>
                  <c:x val="-5.6272757365110888E-4"/>
                  <c:y val="3.516559677028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9-48DB-97FA-7B3C7190B7BD}"/>
                </c:ext>
              </c:extLst>
            </c:dLbl>
            <c:dLbl>
              <c:idx val="3"/>
              <c:layout>
                <c:manualLayout>
                  <c:x val="4.4025157232703794E-3"/>
                  <c:y val="4.8552477627043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9-48DB-97FA-7B3C7190B7BD}"/>
                </c:ext>
              </c:extLst>
            </c:dLbl>
            <c:dLbl>
              <c:idx val="4"/>
              <c:layout>
                <c:manualLayout>
                  <c:x val="-3.7437934458788541E-2"/>
                  <c:y val="-5.519584901284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9-48DB-97FA-7B3C7190B7BD}"/>
                </c:ext>
              </c:extLst>
            </c:dLbl>
            <c:dLbl>
              <c:idx val="5"/>
              <c:layout>
                <c:manualLayout>
                  <c:x val="-4.0748096656736177E-2"/>
                  <c:y val="-5.184912879865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9-48DB-97FA-7B3C7190B7BD}"/>
                </c:ext>
              </c:extLst>
            </c:dLbl>
            <c:dLbl>
              <c:idx val="6"/>
              <c:layout>
                <c:manualLayout>
                  <c:x val="-3.9093015557762331E-2"/>
                  <c:y val="-5.519584901284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9-48DB-97FA-7B3C7190B7BD}"/>
                </c:ext>
              </c:extLst>
            </c:dLbl>
            <c:dLbl>
              <c:idx val="7"/>
              <c:layout>
                <c:manualLayout>
                  <c:x val="-2.7507447864945384E-2"/>
                  <c:y val="-5.519584901284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9-48DB-97FA-7B3C7190B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'Income Charts'!$O$26:$W$26</c:f>
              <c:numCache>
                <c:formatCode>"$"#,##0</c:formatCode>
                <c:ptCount val="9"/>
                <c:pt idx="0">
                  <c:v>2</c:v>
                </c:pt>
                <c:pt idx="1">
                  <c:v>37</c:v>
                </c:pt>
                <c:pt idx="2">
                  <c:v>78</c:v>
                </c:pt>
                <c:pt idx="3">
                  <c:v>132</c:v>
                </c:pt>
                <c:pt idx="4">
                  <c:v>198</c:v>
                </c:pt>
                <c:pt idx="5">
                  <c:v>278</c:v>
                </c:pt>
                <c:pt idx="6">
                  <c:v>358</c:v>
                </c:pt>
                <c:pt idx="7">
                  <c:v>413</c:v>
                </c:pt>
                <c:pt idx="8">
                  <c:v>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9-48DB-97FA-7B3C7190B7B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0438111"/>
        <c:axId val="630438591"/>
      </c:lineChart>
      <c:catAx>
        <c:axId val="6304381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</a:t>
                </a:r>
                <a:r>
                  <a:rPr lang="en-US" baseline="0"/>
                  <a:t> FAMILY INCOME (1% - 85% SMI)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591"/>
        <c:crosses val="autoZero"/>
        <c:auto val="1"/>
        <c:lblAlgn val="ctr"/>
        <c:lblOffset val="100"/>
        <c:noMultiLvlLbl val="0"/>
      </c:catAx>
      <c:valAx>
        <c:axId val="63043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PARENT</a:t>
                </a:r>
                <a:r>
                  <a:rPr lang="en-US" baseline="0"/>
                  <a:t> SHARE OF OST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Parent Share of Cost - Family Size of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One Child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8560079443892748E-2"/>
                  <c:y val="2.8472156341903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0-449B-BDB2-FB97CB1E4027}"/>
                </c:ext>
              </c:extLst>
            </c:dLbl>
            <c:dLbl>
              <c:idx val="2"/>
              <c:layout>
                <c:manualLayout>
                  <c:x val="-5.6835484938761997E-2"/>
                  <c:y val="5.524591805542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0-449B-BDB2-FB97CB1E4027}"/>
                </c:ext>
              </c:extLst>
            </c:dLbl>
            <c:dLbl>
              <c:idx val="3"/>
              <c:layout>
                <c:manualLayout>
                  <c:x val="-6.7229394240317777E-2"/>
                  <c:y val="-7.5276170297989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0-449B-BDB2-FB97CB1E4027}"/>
                </c:ext>
              </c:extLst>
            </c:dLbl>
            <c:dLbl>
              <c:idx val="4"/>
              <c:layout>
                <c:manualLayout>
                  <c:x val="-6.0609069844422436E-2"/>
                  <c:y val="7.5326239340564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0-449B-BDB2-FB97CB1E4027}"/>
                </c:ext>
              </c:extLst>
            </c:dLbl>
            <c:dLbl>
              <c:idx val="5"/>
              <c:layout>
                <c:manualLayout>
                  <c:x val="-4.240317775571003E-2"/>
                  <c:y val="7.5326239340564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0-449B-BDB2-FB97CB1E4027}"/>
                </c:ext>
              </c:extLst>
            </c:dLbl>
            <c:dLbl>
              <c:idx val="6"/>
              <c:layout>
                <c:manualLayout>
                  <c:x val="-4.9023502151605426E-2"/>
                  <c:y val="7.5326239340564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0-449B-BDB2-FB97CB1E4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'Income Charts'!$O$45:$W$45</c:f>
              <c:numCache>
                <c:formatCode>"$"#,##0</c:formatCode>
                <c:ptCount val="9"/>
                <c:pt idx="0">
                  <c:v>94</c:v>
                </c:pt>
                <c:pt idx="1">
                  <c:v>1403</c:v>
                </c:pt>
                <c:pt idx="2">
                  <c:v>2339</c:v>
                </c:pt>
                <c:pt idx="3">
                  <c:v>3274</c:v>
                </c:pt>
                <c:pt idx="4">
                  <c:v>4209</c:v>
                </c:pt>
                <c:pt idx="5">
                  <c:v>5145</c:v>
                </c:pt>
                <c:pt idx="6">
                  <c:v>6080</c:v>
                </c:pt>
                <c:pt idx="7">
                  <c:v>7015</c:v>
                </c:pt>
                <c:pt idx="8">
                  <c:v>7950</c:v>
                </c:pt>
              </c:numCache>
            </c:numRef>
          </c:cat>
          <c:val>
            <c:numRef>
              <c:f>'Income Charts'!$O$46:$W$46</c:f>
              <c:numCache>
                <c:formatCode>"$"#,##0</c:formatCode>
                <c:ptCount val="9"/>
                <c:pt idx="0">
                  <c:v>2</c:v>
                </c:pt>
                <c:pt idx="1">
                  <c:v>41</c:v>
                </c:pt>
                <c:pt idx="2">
                  <c:v>84</c:v>
                </c:pt>
                <c:pt idx="3">
                  <c:v>140</c:v>
                </c:pt>
                <c:pt idx="4">
                  <c:v>208</c:v>
                </c:pt>
                <c:pt idx="5">
                  <c:v>288</c:v>
                </c:pt>
                <c:pt idx="6">
                  <c:v>381</c:v>
                </c:pt>
                <c:pt idx="7">
                  <c:v>486</c:v>
                </c:pt>
                <c:pt idx="8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50-449B-BDB2-FB97CB1E4027}"/>
            </c:ext>
          </c:extLst>
        </c:ser>
        <c:ser>
          <c:idx val="0"/>
          <c:order val="1"/>
          <c:tx>
            <c:v>Two Children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8.0006620324395927E-2"/>
                  <c:y val="-5.184912879865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0-449B-BDB2-FB97CB1E4027}"/>
                </c:ext>
              </c:extLst>
            </c:dLbl>
            <c:dLbl>
              <c:idx val="2"/>
              <c:layout>
                <c:manualLayout>
                  <c:x val="-5.1870241641840453E-2"/>
                  <c:y val="-4.1808968156088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0-449B-BDB2-FB97CB1E4027}"/>
                </c:ext>
              </c:extLst>
            </c:dLbl>
            <c:dLbl>
              <c:idx val="3"/>
              <c:layout>
                <c:manualLayout>
                  <c:x val="-4.9023502151605426E-2"/>
                  <c:y val="7.5326239340564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0-449B-BDB2-FB97CB1E4027}"/>
                </c:ext>
              </c:extLst>
            </c:dLbl>
            <c:dLbl>
              <c:idx val="4"/>
              <c:layout>
                <c:manualLayout>
                  <c:x val="-6.0609069844422436E-2"/>
                  <c:y val="-5.1849128798659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0-449B-BDB2-FB97CB1E4027}"/>
                </c:ext>
              </c:extLst>
            </c:dLbl>
            <c:dLbl>
              <c:idx val="5"/>
              <c:layout>
                <c:manualLayout>
                  <c:x val="-6.5574313141343932E-2"/>
                  <c:y val="-5.519584901284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0-449B-BDB2-FB97CB1E40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0-449B-BDB2-FB97CB1E402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50-449B-BDB2-FB97CB1E4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'Income Charts'!$O$45:$W$45</c:f>
              <c:numCache>
                <c:formatCode>"$"#,##0</c:formatCode>
                <c:ptCount val="9"/>
                <c:pt idx="0">
                  <c:v>94</c:v>
                </c:pt>
                <c:pt idx="1">
                  <c:v>1403</c:v>
                </c:pt>
                <c:pt idx="2">
                  <c:v>2339</c:v>
                </c:pt>
                <c:pt idx="3">
                  <c:v>3274</c:v>
                </c:pt>
                <c:pt idx="4">
                  <c:v>4209</c:v>
                </c:pt>
                <c:pt idx="5">
                  <c:v>5145</c:v>
                </c:pt>
                <c:pt idx="6">
                  <c:v>6080</c:v>
                </c:pt>
                <c:pt idx="7">
                  <c:v>7015</c:v>
                </c:pt>
                <c:pt idx="8">
                  <c:v>7950</c:v>
                </c:pt>
              </c:numCache>
            </c:numRef>
          </c:cat>
          <c:val>
            <c:numRef>
              <c:f>'Income Charts'!$O$47:$W$47</c:f>
              <c:numCache>
                <c:formatCode>"$"#,##0</c:formatCode>
                <c:ptCount val="9"/>
                <c:pt idx="0">
                  <c:v>2</c:v>
                </c:pt>
                <c:pt idx="1">
                  <c:v>44</c:v>
                </c:pt>
                <c:pt idx="2">
                  <c:v>93</c:v>
                </c:pt>
                <c:pt idx="3">
                  <c:v>157</c:v>
                </c:pt>
                <c:pt idx="4">
                  <c:v>236</c:v>
                </c:pt>
                <c:pt idx="5">
                  <c:v>330</c:v>
                </c:pt>
                <c:pt idx="6">
                  <c:v>426</c:v>
                </c:pt>
                <c:pt idx="7">
                  <c:v>491</c:v>
                </c:pt>
                <c:pt idx="8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50-449B-BDB2-FB97CB1E4027}"/>
            </c:ext>
          </c:extLst>
        </c:ser>
        <c:ser>
          <c:idx val="2"/>
          <c:order val="2"/>
          <c:tx>
            <c:v>Three Children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2.3733862959285035E-2"/>
                  <c:y val="-0.11209009265408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50-449B-BDB2-FB97CB1E4027}"/>
                </c:ext>
              </c:extLst>
            </c:dLbl>
            <c:dLbl>
              <c:idx val="2"/>
              <c:layout>
                <c:manualLayout>
                  <c:x val="-2.2078781860311154E-2"/>
                  <c:y val="-0.10204993201151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50-449B-BDB2-FB97CB1E4027}"/>
                </c:ext>
              </c:extLst>
            </c:dLbl>
            <c:dLbl>
              <c:idx val="3"/>
              <c:layout>
                <c:manualLayout>
                  <c:x val="-1.7576961271102285E-2"/>
                  <c:y val="-9.8703211797320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50-449B-BDB2-FB97CB1E4027}"/>
                </c:ext>
              </c:extLst>
            </c:dLbl>
            <c:dLbl>
              <c:idx val="4"/>
              <c:layout>
                <c:manualLayout>
                  <c:x val="-2.4197285666997744E-2"/>
                  <c:y val="-7.862289051217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50-449B-BDB2-FB97CB1E4027}"/>
                </c:ext>
              </c:extLst>
            </c:dLbl>
            <c:dLbl>
              <c:idx val="5"/>
              <c:layout>
                <c:manualLayout>
                  <c:x val="-1.2611717974180734E-2"/>
                  <c:y val="-7.5276170297989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50-449B-BDB2-FB97CB1E4027}"/>
                </c:ext>
              </c:extLst>
            </c:dLbl>
            <c:dLbl>
              <c:idx val="6"/>
              <c:layout>
                <c:manualLayout>
                  <c:x val="-2.7507447864945384E-2"/>
                  <c:y val="-7.192945008379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50-449B-BDB2-FB97CB1E402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50-449B-BDB2-FB97CB1E4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'Income Charts'!$O$45:$W$45</c:f>
              <c:numCache>
                <c:formatCode>"$"#,##0</c:formatCode>
                <c:ptCount val="9"/>
                <c:pt idx="0">
                  <c:v>94</c:v>
                </c:pt>
                <c:pt idx="1">
                  <c:v>1403</c:v>
                </c:pt>
                <c:pt idx="2">
                  <c:v>2339</c:v>
                </c:pt>
                <c:pt idx="3">
                  <c:v>3274</c:v>
                </c:pt>
                <c:pt idx="4">
                  <c:v>4209</c:v>
                </c:pt>
                <c:pt idx="5">
                  <c:v>5145</c:v>
                </c:pt>
                <c:pt idx="6">
                  <c:v>6080</c:v>
                </c:pt>
                <c:pt idx="7">
                  <c:v>7015</c:v>
                </c:pt>
                <c:pt idx="8">
                  <c:v>7950</c:v>
                </c:pt>
              </c:numCache>
            </c:numRef>
          </c:cat>
          <c:val>
            <c:numRef>
              <c:f>'Income Charts'!$O$48:$W$48</c:f>
              <c:numCache>
                <c:formatCode>"$"#,##0</c:formatCode>
                <c:ptCount val="9"/>
                <c:pt idx="0">
                  <c:v>2</c:v>
                </c:pt>
                <c:pt idx="1">
                  <c:v>47</c:v>
                </c:pt>
                <c:pt idx="2">
                  <c:v>102</c:v>
                </c:pt>
                <c:pt idx="3">
                  <c:v>174</c:v>
                </c:pt>
                <c:pt idx="4">
                  <c:v>264</c:v>
                </c:pt>
                <c:pt idx="5">
                  <c:v>360</c:v>
                </c:pt>
                <c:pt idx="6">
                  <c:v>426</c:v>
                </c:pt>
                <c:pt idx="7">
                  <c:v>491</c:v>
                </c:pt>
                <c:pt idx="8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50-449B-BDB2-FB97CB1E402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0438111"/>
        <c:axId val="630438591"/>
      </c:lineChart>
      <c:catAx>
        <c:axId val="6304381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</a:t>
                </a:r>
                <a:r>
                  <a:rPr lang="en-US" baseline="0"/>
                  <a:t> FAMILY INCOME (1% - 85% SMI)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591"/>
        <c:crosses val="autoZero"/>
        <c:auto val="1"/>
        <c:lblAlgn val="ctr"/>
        <c:lblOffset val="100"/>
        <c:noMultiLvlLbl val="0"/>
      </c:catAx>
      <c:valAx>
        <c:axId val="63043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PARENT</a:t>
                </a:r>
                <a:r>
                  <a:rPr lang="en-US" baseline="0"/>
                  <a:t> SHARE OF OST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438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Parent</a:t>
            </a:r>
            <a:r>
              <a:rPr lang="en-US" baseline="0"/>
              <a:t> Share of Cost as a Percent of Income Sliding Scale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40928348523364"/>
          <c:y val="0.10826036193812026"/>
          <c:w val="0.87096829431754097"/>
          <c:h val="0.69977660410662312"/>
        </c:manualLayout>
      </c:layout>
      <c:lineChart>
        <c:grouping val="standard"/>
        <c:varyColors val="0"/>
        <c:ser>
          <c:idx val="0"/>
          <c:order val="0"/>
          <c:tx>
            <c:v>1st Child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'Scale Charts'!$N$2:$V$2</c:f>
              <c:numCache>
                <c:formatCode>0%</c:formatCode>
                <c:ptCount val="9"/>
                <c:pt idx="0">
                  <c:v>0.01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0.65</c:v>
                </c:pt>
                <c:pt idx="7">
                  <c:v>0.75</c:v>
                </c:pt>
                <c:pt idx="8">
                  <c:v>0.85</c:v>
                </c:pt>
              </c:numCache>
            </c:numRef>
          </c:cat>
          <c:val>
            <c:numRef>
              <c:f>'Scale Charts'!$N$3:$V$3</c:f>
              <c:numCache>
                <c:formatCode>0.000%</c:formatCode>
                <c:ptCount val="9"/>
                <c:pt idx="0">
                  <c:v>2.0004188679245284E-2</c:v>
                </c:pt>
                <c:pt idx="1">
                  <c:v>2.9324000000000003E-2</c:v>
                </c:pt>
                <c:pt idx="2">
                  <c:v>3.5984000000000002E-2</c:v>
                </c:pt>
                <c:pt idx="3">
                  <c:v>4.2644000000000001E-2</c:v>
                </c:pt>
                <c:pt idx="4">
                  <c:v>4.9304000000000001E-2</c:v>
                </c:pt>
                <c:pt idx="5">
                  <c:v>5.5964000000000014E-2</c:v>
                </c:pt>
                <c:pt idx="6">
                  <c:v>6.2623999999999999E-2</c:v>
                </c:pt>
                <c:pt idx="7">
                  <c:v>6.9283999999999998E-2</c:v>
                </c:pt>
                <c:pt idx="8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8-4673-A95F-2B2B283CC660}"/>
            </c:ext>
          </c:extLst>
        </c:ser>
        <c:ser>
          <c:idx val="1"/>
          <c:order val="1"/>
          <c:tx>
            <c:v>% Add-on Each Add'l Child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'Scale Charts'!$N$2:$V$2</c:f>
              <c:numCache>
                <c:formatCode>0%</c:formatCode>
                <c:ptCount val="9"/>
                <c:pt idx="0">
                  <c:v>0.01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0.65</c:v>
                </c:pt>
                <c:pt idx="7">
                  <c:v>0.75</c:v>
                </c:pt>
                <c:pt idx="8">
                  <c:v>0.85</c:v>
                </c:pt>
              </c:numCache>
            </c:numRef>
          </c:cat>
          <c:val>
            <c:numRef>
              <c:f>'Scale Charts'!$N$4:$V$4</c:f>
              <c:numCache>
                <c:formatCode>0.000%</c:formatCode>
                <c:ptCount val="9"/>
                <c:pt idx="0">
                  <c:v>1.508209240168E-4</c:v>
                </c:pt>
                <c:pt idx="1">
                  <c:v>2.25085910652921E-3</c:v>
                </c:pt>
                <c:pt idx="2">
                  <c:v>3.7514318442153499E-3</c:v>
                </c:pt>
                <c:pt idx="3">
                  <c:v>5.2500954562810231E-3</c:v>
                </c:pt>
                <c:pt idx="4">
                  <c:v>6.7506681939671631E-3</c:v>
                </c:pt>
                <c:pt idx="5">
                  <c:v>8.2512409316533031E-3</c:v>
                </c:pt>
                <c:pt idx="6">
                  <c:v>7.36794730813288E-3</c:v>
                </c:pt>
                <c:pt idx="7">
                  <c:v>7.1388087056128979E-4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7-4419-96AD-59FE2AA40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138928"/>
        <c:axId val="276471440"/>
      </c:lineChart>
      <c:catAx>
        <c:axId val="279138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Family</a:t>
                </a:r>
                <a:r>
                  <a:rPr lang="en-US" baseline="0"/>
                  <a:t> Income as Percent of State Median Income (SMI)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471440"/>
        <c:crosses val="autoZero"/>
        <c:auto val="1"/>
        <c:lblAlgn val="ctr"/>
        <c:lblOffset val="100"/>
        <c:noMultiLvlLbl val="0"/>
      </c:catAx>
      <c:valAx>
        <c:axId val="27647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Parent Share of Cost as Percent of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13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</a:t>
            </a:r>
            <a:r>
              <a:rPr lang="en-US"/>
              <a:t>Parent</a:t>
            </a:r>
            <a:r>
              <a:rPr lang="en-US" baseline="0"/>
              <a:t> Share of Cost as Percent of Income Capped at 7%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24179421392551"/>
          <c:y val="0.11696625670135603"/>
          <c:w val="0.8867231413489044"/>
          <c:h val="0.70918808989935878"/>
        </c:manualLayout>
      </c:layout>
      <c:lineChart>
        <c:grouping val="standard"/>
        <c:varyColors val="0"/>
        <c:ser>
          <c:idx val="0"/>
          <c:order val="0"/>
          <c:tx>
            <c:v>1 Child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'Scale Charts'!$N$26:$V$26</c:f>
              <c:numCache>
                <c:formatCode>0%</c:formatCode>
                <c:ptCount val="9"/>
                <c:pt idx="0">
                  <c:v>0.01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0.65</c:v>
                </c:pt>
                <c:pt idx="7">
                  <c:v>0.75</c:v>
                </c:pt>
                <c:pt idx="8">
                  <c:v>0.85</c:v>
                </c:pt>
              </c:numCache>
            </c:numRef>
          </c:cat>
          <c:val>
            <c:numRef>
              <c:f>'Scale Charts'!$N$27:$V$27</c:f>
              <c:numCache>
                <c:formatCode>0.000%</c:formatCode>
                <c:ptCount val="9"/>
                <c:pt idx="0">
                  <c:v>2.0004188679245284E-2</c:v>
                </c:pt>
                <c:pt idx="1">
                  <c:v>2.9324000000000003E-2</c:v>
                </c:pt>
                <c:pt idx="2">
                  <c:v>3.5984000000000002E-2</c:v>
                </c:pt>
                <c:pt idx="3">
                  <c:v>4.2644000000000001E-2</c:v>
                </c:pt>
                <c:pt idx="4">
                  <c:v>4.9304000000000001E-2</c:v>
                </c:pt>
                <c:pt idx="5">
                  <c:v>5.5964000000000014E-2</c:v>
                </c:pt>
                <c:pt idx="6">
                  <c:v>6.2623999999999999E-2</c:v>
                </c:pt>
                <c:pt idx="7">
                  <c:v>6.9283999999999998E-2</c:v>
                </c:pt>
                <c:pt idx="8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9-44DF-9F61-FEBA6A3C225B}"/>
            </c:ext>
          </c:extLst>
        </c:ser>
        <c:ser>
          <c:idx val="1"/>
          <c:order val="1"/>
          <c:tx>
            <c:v>2 Children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'Scale Charts'!$N$26:$V$26</c:f>
              <c:numCache>
                <c:formatCode>0%</c:formatCode>
                <c:ptCount val="9"/>
                <c:pt idx="0">
                  <c:v>0.01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0.65</c:v>
                </c:pt>
                <c:pt idx="7">
                  <c:v>0.75</c:v>
                </c:pt>
                <c:pt idx="8">
                  <c:v>0.85</c:v>
                </c:pt>
              </c:numCache>
            </c:numRef>
          </c:cat>
          <c:val>
            <c:numRef>
              <c:f>'Scale Charts'!$N$28:$V$28</c:f>
              <c:numCache>
                <c:formatCode>0.000%</c:formatCode>
                <c:ptCount val="9"/>
                <c:pt idx="0">
                  <c:v>2.0154465826651393E-2</c:v>
                </c:pt>
                <c:pt idx="1">
                  <c:v>3.1578673539518903E-2</c:v>
                </c:pt>
                <c:pt idx="2">
                  <c:v>3.9741789232531508E-2</c:v>
                </c:pt>
                <c:pt idx="3">
                  <c:v>4.7894519282168771E-2</c:v>
                </c:pt>
                <c:pt idx="4">
                  <c:v>5.6057634975181368E-2</c:v>
                </c:pt>
                <c:pt idx="5">
                  <c:v>6.4220750668193965E-2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9-44DF-9F61-FEBA6A3C225B}"/>
            </c:ext>
          </c:extLst>
        </c:ser>
        <c:ser>
          <c:idx val="2"/>
          <c:order val="2"/>
          <c:tx>
            <c:v>3 Children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'Scale Charts'!$N$26:$V$26</c:f>
              <c:numCache>
                <c:formatCode>0%</c:formatCode>
                <c:ptCount val="9"/>
                <c:pt idx="0">
                  <c:v>0.01</c:v>
                </c:pt>
                <c:pt idx="1">
                  <c:v>0.15</c:v>
                </c:pt>
                <c:pt idx="2">
                  <c:v>0.25</c:v>
                </c:pt>
                <c:pt idx="3">
                  <c:v>0.35</c:v>
                </c:pt>
                <c:pt idx="4">
                  <c:v>0.45</c:v>
                </c:pt>
                <c:pt idx="5">
                  <c:v>0.55000000000000004</c:v>
                </c:pt>
                <c:pt idx="6">
                  <c:v>0.65</c:v>
                </c:pt>
                <c:pt idx="7">
                  <c:v>0.75</c:v>
                </c:pt>
                <c:pt idx="8">
                  <c:v>0.85</c:v>
                </c:pt>
              </c:numCache>
            </c:numRef>
          </c:cat>
          <c:val>
            <c:numRef>
              <c:f>'Scale Charts'!$N$29:$V$29</c:f>
              <c:numCache>
                <c:formatCode>0.000%</c:formatCode>
                <c:ptCount val="9"/>
                <c:pt idx="0">
                  <c:v>2.0304854271356785E-2</c:v>
                </c:pt>
                <c:pt idx="1">
                  <c:v>3.3824516411846466E-2</c:v>
                </c:pt>
                <c:pt idx="2">
                  <c:v>4.3491746177696994E-2</c:v>
                </c:pt>
                <c:pt idx="3">
                  <c:v>5.3148647706618202E-2</c:v>
                </c:pt>
                <c:pt idx="4">
                  <c:v>6.280554923553941E-2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9-44DF-9F61-FEBA6A3C2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138928"/>
        <c:axId val="276471440"/>
      </c:lineChart>
      <c:catAx>
        <c:axId val="279138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Family</a:t>
                </a:r>
                <a:r>
                  <a:rPr lang="en-US" baseline="0"/>
                  <a:t> Income as Percent of State Median Income (SMI)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471440"/>
        <c:crosses val="autoZero"/>
        <c:auto val="1"/>
        <c:lblAlgn val="ctr"/>
        <c:lblOffset val="100"/>
        <c:noMultiLvlLbl val="0"/>
      </c:catAx>
      <c:valAx>
        <c:axId val="276471440"/>
        <c:scaling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Parent Share of Cost as Percent of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13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</xdr:colOff>
      <xdr:row>0</xdr:row>
      <xdr:rowOff>53340</xdr:rowOff>
    </xdr:from>
    <xdr:to>
      <xdr:col>12</xdr:col>
      <xdr:colOff>556260</xdr:colOff>
      <xdr:row>19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E49A07-CDC1-5BDF-C334-7B31679CE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20</xdr:row>
      <xdr:rowOff>15240</xdr:rowOff>
    </xdr:from>
    <xdr:to>
      <xdr:col>12</xdr:col>
      <xdr:colOff>548640</xdr:colOff>
      <xdr:row>40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D87F49-71AE-45FA-AE14-713673899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198120</xdr:colOff>
      <xdr:row>42</xdr:row>
      <xdr:rowOff>7620</xdr:rowOff>
    </xdr:from>
    <xdr:to>
      <xdr:col>12</xdr:col>
      <xdr:colOff>556260</xdr:colOff>
      <xdr:row>62</xdr:row>
      <xdr:rowOff>144780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F4C6F-170C-411D-880F-E7DB5019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60960</xdr:rowOff>
    </xdr:from>
    <xdr:to>
      <xdr:col>11</xdr:col>
      <xdr:colOff>259080</xdr:colOff>
      <xdr:row>24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AD66A72-7997-463C-AD31-04AD1AD6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182880</xdr:colOff>
      <xdr:row>25</xdr:row>
      <xdr:rowOff>30480</xdr:rowOff>
    </xdr:from>
    <xdr:to>
      <xdr:col>11</xdr:col>
      <xdr:colOff>259080</xdr:colOff>
      <xdr:row>47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2C1F74-39A8-4499-ABB5-514B2377C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C2789-9CE1-4248-857C-FB985A4BDCE7}" name="SMI" displayName="SMI" ref="A1:B16" totalsRowShown="0">
  <autoFilter ref="A1:B16" xr:uid="{D2E88AB2-484E-4435-B267-5635F1F8A2A7}"/>
  <tableColumns count="2">
    <tableColumn id="1" xr3:uid="{D6ADCAFB-F31C-41F9-A2ED-E9C6CD02271C}" name="Family Size"/>
    <tableColumn id="2" xr3:uid="{2EAAC4F6-2D6E-400F-84DE-3BDCE418FBAC}" name="100% SMI per Family Size" dataDxfId="2" dataCellStyle="Currency">
      <calculatedColumnFormula>F2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xas-sos.appianportalsgov.com/rules-and-meetings?recordId=210288&amp;queryAsDate=08%2F18%2F2025&amp;interface=VIEW_TAC_SUMMARY&amp;$locale=en_U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exas-sos.appianportalsgov.com/rules-and-meetings?recordId=210290&amp;queryAsDate=08%2F18%2F2025&amp;interface=VIEW_TAC_SUMMARY&amp;$locale=en_US" TargetMode="External"/><Relationship Id="rId1" Type="http://schemas.openxmlformats.org/officeDocument/2006/relationships/hyperlink" Target="https://texas-sos.appianportalsgov.com/rules-and-meetings?$locale=en_US&amp;interface=VIEW_TAC_SUMMARY&amp;queryAsDate=08%2F18%2F2025&amp;recordId=219862" TargetMode="External"/><Relationship Id="rId6" Type="http://schemas.openxmlformats.org/officeDocument/2006/relationships/hyperlink" Target="https://texas-sos.appianportalsgov.com/rules-and-meetings?recordId=220441&amp;queryAsDate=08%2F18%2F2025&amp;interface=VIEW_TAC_SUMMARY&amp;$locale=en_US" TargetMode="External"/><Relationship Id="rId5" Type="http://schemas.openxmlformats.org/officeDocument/2006/relationships/hyperlink" Target="https://texas-sos.appianportalsgov.com/rules-and-meetings?recordId=220441&amp;queryAsDate=08%2F18%2F2025&amp;interface=VIEW_TAC_SUMMARY&amp;$locale=en_US" TargetMode="External"/><Relationship Id="rId4" Type="http://schemas.openxmlformats.org/officeDocument/2006/relationships/hyperlink" Target="https://texas-sos.appianportalsgov.com/rules-and-meetings?recordId=220441&amp;queryAsDate=08%2F18%2F2025&amp;interface=VIEW_TAC_SUMMARY&amp;$locale=en_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4907-057D-4C58-88CF-C2D0EDF3769B}">
  <dimension ref="A1:J24"/>
  <sheetViews>
    <sheetView tabSelected="1" zoomScale="90" zoomScaleNormal="80" workbookViewId="0"/>
  </sheetViews>
  <sheetFormatPr defaultColWidth="8.84375" defaultRowHeight="30" customHeight="1" x14ac:dyDescent="0.55000000000000004"/>
  <cols>
    <col min="1" max="1" width="67.3828125" style="14" customWidth="1"/>
    <col min="2" max="2" width="15.69140625" style="16" bestFit="1" customWidth="1"/>
    <col min="3" max="3" width="2.3828125" style="8" customWidth="1"/>
    <col min="4" max="4" width="47.15234375" style="8" customWidth="1"/>
    <col min="5" max="5" width="8.84375" style="8"/>
    <col min="6" max="6" width="15.69140625" style="8" bestFit="1" customWidth="1"/>
    <col min="7" max="16384" width="8.84375" style="8"/>
  </cols>
  <sheetData>
    <row r="1" spans="1:10" ht="45.75" customHeight="1" thickBot="1" x14ac:dyDescent="0.6">
      <c r="A1" s="49" t="s">
        <v>0</v>
      </c>
      <c r="D1" s="14" t="s">
        <v>1</v>
      </c>
    </row>
    <row r="2" spans="1:10" ht="30" customHeight="1" x14ac:dyDescent="0.55000000000000004">
      <c r="A2" s="10" t="s">
        <v>2</v>
      </c>
      <c r="B2" s="17"/>
      <c r="D2" s="27" t="s">
        <v>3</v>
      </c>
    </row>
    <row r="3" spans="1:10" ht="30" customHeight="1" x14ac:dyDescent="0.55000000000000004">
      <c r="A3" s="11" t="s">
        <v>4</v>
      </c>
      <c r="B3" s="18"/>
      <c r="D3" s="27" t="s">
        <v>5</v>
      </c>
      <c r="F3" s="46"/>
    </row>
    <row r="4" spans="1:10" ht="30" customHeight="1" thickBot="1" x14ac:dyDescent="0.6">
      <c r="A4" s="12" t="s">
        <v>6</v>
      </c>
      <c r="B4" s="19"/>
      <c r="C4" s="9"/>
      <c r="D4" s="33" t="s">
        <v>7</v>
      </c>
    </row>
    <row r="5" spans="1:10" ht="10.4" customHeight="1" thickBot="1" x14ac:dyDescent="0.6">
      <c r="A5" s="13"/>
      <c r="B5" s="28"/>
      <c r="C5" s="9"/>
      <c r="D5" s="14"/>
    </row>
    <row r="6" spans="1:10" ht="30" customHeight="1" x14ac:dyDescent="0.55000000000000004">
      <c r="A6" s="10" t="s">
        <v>8</v>
      </c>
      <c r="B6" s="20">
        <f>Calculations!B5</f>
        <v>0</v>
      </c>
      <c r="D6" s="27" t="s">
        <v>9</v>
      </c>
    </row>
    <row r="7" spans="1:10" ht="30" customHeight="1" thickBot="1" x14ac:dyDescent="0.6">
      <c r="A7" s="12" t="s">
        <v>10</v>
      </c>
      <c r="B7" s="15" t="str">
        <f>Calculations!B6</f>
        <v>Yes</v>
      </c>
      <c r="D7" s="14"/>
    </row>
    <row r="8" spans="1:10" ht="10.4" customHeight="1" thickBot="1" x14ac:dyDescent="0.6">
      <c r="D8" s="14"/>
    </row>
    <row r="9" spans="1:10" ht="30" customHeight="1" x14ac:dyDescent="0.55000000000000004">
      <c r="A9" s="10" t="s">
        <v>11</v>
      </c>
      <c r="B9" s="21">
        <f>Calculations!B8</f>
        <v>0</v>
      </c>
      <c r="D9" s="29"/>
    </row>
    <row r="10" spans="1:10" ht="30" customHeight="1" thickBot="1" x14ac:dyDescent="0.6">
      <c r="A10" s="12" t="s">
        <v>12</v>
      </c>
      <c r="B10" s="22">
        <f>Calculations!B7</f>
        <v>0</v>
      </c>
      <c r="D10" s="27" t="s">
        <v>13</v>
      </c>
      <c r="E10" s="30"/>
      <c r="J10" s="31"/>
    </row>
    <row r="11" spans="1:10" ht="10.4" customHeight="1" thickBot="1" x14ac:dyDescent="0.6">
      <c r="D11" s="29"/>
    </row>
    <row r="12" spans="1:10" ht="30" customHeight="1" x14ac:dyDescent="0.55000000000000004">
      <c r="A12" s="10" t="s">
        <v>14</v>
      </c>
      <c r="B12" s="23">
        <f>IF(Calculations!B9=-1,0,Calculations!B9)</f>
        <v>0</v>
      </c>
      <c r="D12" s="29"/>
    </row>
    <row r="13" spans="1:10" ht="30" customHeight="1" x14ac:dyDescent="0.55000000000000004">
      <c r="A13" s="11" t="s">
        <v>15</v>
      </c>
      <c r="B13" s="24">
        <f>Calculations!B11</f>
        <v>0</v>
      </c>
      <c r="D13" s="29"/>
    </row>
    <row r="14" spans="1:10" ht="30" customHeight="1" thickBot="1" x14ac:dyDescent="0.6">
      <c r="A14" s="12" t="s">
        <v>16</v>
      </c>
      <c r="B14" s="22">
        <f>Calculations!B10</f>
        <v>0</v>
      </c>
      <c r="D14" s="27" t="s">
        <v>13</v>
      </c>
    </row>
    <row r="15" spans="1:10" ht="10.4" customHeight="1" thickBot="1" x14ac:dyDescent="0.6">
      <c r="B15" s="25"/>
      <c r="D15" s="29"/>
    </row>
    <row r="16" spans="1:10" ht="30" customHeight="1" x14ac:dyDescent="0.55000000000000004">
      <c r="A16" s="10" t="s">
        <v>17</v>
      </c>
      <c r="B16" s="26">
        <f>Calculations!B13</f>
        <v>0</v>
      </c>
      <c r="D16" s="29"/>
    </row>
    <row r="17" spans="1:6" ht="30" customHeight="1" x14ac:dyDescent="0.55000000000000004">
      <c r="A17" s="47" t="s">
        <v>18</v>
      </c>
      <c r="B17" s="48">
        <f>ROUND((B16/22)*5,0)</f>
        <v>0</v>
      </c>
      <c r="D17" s="29"/>
    </row>
    <row r="18" spans="1:6" ht="30" customHeight="1" thickBot="1" x14ac:dyDescent="0.6">
      <c r="A18" s="12" t="s">
        <v>19</v>
      </c>
      <c r="B18" s="22">
        <f>Calculations!B12</f>
        <v>0</v>
      </c>
      <c r="D18" s="27" t="s">
        <v>13</v>
      </c>
    </row>
    <row r="19" spans="1:6" ht="30" customHeight="1" x14ac:dyDescent="0.55000000000000004">
      <c r="B19" s="32"/>
    </row>
    <row r="20" spans="1:6" ht="30" customHeight="1" x14ac:dyDescent="0.55000000000000004">
      <c r="B20" s="25"/>
      <c r="D20" s="46"/>
      <c r="F20" s="30"/>
    </row>
    <row r="21" spans="1:6" ht="30" customHeight="1" x14ac:dyDescent="0.55000000000000004">
      <c r="B21" s="25"/>
      <c r="D21" s="46"/>
    </row>
    <row r="22" spans="1:6" ht="30" customHeight="1" x14ac:dyDescent="0.55000000000000004">
      <c r="B22" s="25"/>
    </row>
    <row r="23" spans="1:6" ht="30" customHeight="1" x14ac:dyDescent="0.55000000000000004">
      <c r="B23" s="25"/>
    </row>
    <row r="24" spans="1:6" ht="30" customHeight="1" x14ac:dyDescent="0.55000000000000004">
      <c r="B24" s="25"/>
    </row>
  </sheetData>
  <sheetProtection algorithmName="SHA-512" hashValue="8RBuPZZR1fOu5OdmwY2qX+jkSViqEPDcJgM28WilWpqz3VUN4ofDxv4AZerPd7jS5MysKzj0oNuUqGEi9DwgEw==" saltValue="qXOzfkIXkU24cQJUsYlynA==" spinCount="100000" sheet="1" objects="1" scenarios="1"/>
  <conditionalFormatting sqref="B7:B9">
    <cfRule type="containsText" dxfId="1" priority="2" operator="containsText" text="No">
      <formula>NOT(ISERROR(SEARCH("No",B7)))</formula>
    </cfRule>
  </conditionalFormatting>
  <dataValidations xWindow="739" yWindow="309" count="3">
    <dataValidation type="whole" operator="lessThan" showInputMessage="1" showErrorMessage="1" errorTitle="Error" error="Number of children in care must be less than the family size" promptTitle="Children Recieving Care" prompt="Enter the number of children receiving child care.  This number must be lower than the Family Size." sqref="B4" xr:uid="{15E98EC1-55D5-47DF-8743-E8E775DA2527}">
      <formula1>B2</formula1>
    </dataValidation>
    <dataValidation allowBlank="1" showInputMessage="1" showErrorMessage="1" promptTitle="Family Size" prompt="Enter the number of all household residents: this includes the parent or parents, plus all household dependents, including dependents not receiving child care." sqref="B2" xr:uid="{57737D77-6D18-4938-AD6B-D7AD5CE99496}"/>
    <dataValidation allowBlank="1" showInputMessage="1" showErrorMessage="1" promptTitle="Monthly Income" prompt="Enter the family monthly income amount." sqref="B3" xr:uid="{1C83D54F-46A6-4405-9644-8FBCAD73BCF0}"/>
  </dataValidations>
  <hyperlinks>
    <hyperlink ref="D2" r:id="rId1" xr:uid="{7C5753FA-B3C4-432A-AD62-6D946835987B}"/>
    <hyperlink ref="D3" r:id="rId2" xr:uid="{567CBE4B-82E8-4E12-849F-99D320DDCB10}"/>
    <hyperlink ref="D6" r:id="rId3" xr:uid="{29E03A3E-79EF-4FF4-8E2B-E09B96BC4FA0}"/>
    <hyperlink ref="D10" r:id="rId4" xr:uid="{041AAC7E-72F1-4084-826B-F452B0F1BD0B}"/>
    <hyperlink ref="D14" r:id="rId5" xr:uid="{8C4FF3C4-195A-4279-95AA-711132D52826}"/>
    <hyperlink ref="D18" r:id="rId6" xr:uid="{283CE2CF-0728-495A-9D8A-A035FFECA1F5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C9A8-CA8B-4CB0-BE15-A7055EF99FC5}">
  <dimension ref="A1:W48"/>
  <sheetViews>
    <sheetView topLeftCell="E1" workbookViewId="0">
      <selection activeCell="Q53" sqref="Q53"/>
    </sheetView>
  </sheetViews>
  <sheetFormatPr defaultRowHeight="14.6" x14ac:dyDescent="0.4"/>
  <cols>
    <col min="1" max="1" width="8.84375" customWidth="1"/>
    <col min="14" max="14" width="22.3046875" bestFit="1" customWidth="1"/>
  </cols>
  <sheetData>
    <row r="1" spans="14:23" x14ac:dyDescent="0.4">
      <c r="N1" s="1" t="s">
        <v>20</v>
      </c>
    </row>
    <row r="2" spans="14:23" x14ac:dyDescent="0.4">
      <c r="N2" s="52" t="s">
        <v>21</v>
      </c>
      <c r="O2" s="52">
        <f>'PSoC Chart'!B2</f>
        <v>0.01</v>
      </c>
      <c r="P2" s="52">
        <f>'PSoC Chart'!C2</f>
        <v>0.15</v>
      </c>
      <c r="Q2" s="52">
        <f>'PSoC Chart'!D2</f>
        <v>0.25</v>
      </c>
      <c r="R2" s="52">
        <f>'PSoC Chart'!E2</f>
        <v>0.35</v>
      </c>
      <c r="S2" s="52">
        <f>'PSoC Chart'!F2</f>
        <v>0.45</v>
      </c>
      <c r="T2" s="52">
        <f>'PSoC Chart'!G2</f>
        <v>0.55000000000000004</v>
      </c>
      <c r="U2" s="52">
        <f>'PSoC Chart'!H2</f>
        <v>0.65</v>
      </c>
      <c r="V2" s="52">
        <f>'PSoC Chart'!I2</f>
        <v>0.75</v>
      </c>
      <c r="W2" s="52">
        <f>'PSoC Chart'!J2</f>
        <v>0.85</v>
      </c>
    </row>
    <row r="3" spans="14:23" x14ac:dyDescent="0.4">
      <c r="N3" t="s">
        <v>22</v>
      </c>
      <c r="O3" s="54">
        <f>'PSoC Chart'!B6</f>
        <v>64</v>
      </c>
      <c r="P3" s="54">
        <f>'PSoC Chart'!C6</f>
        <v>954</v>
      </c>
      <c r="Q3" s="54">
        <f>'PSoC Chart'!D6</f>
        <v>1590</v>
      </c>
      <c r="R3" s="54">
        <f>'PSoC Chart'!E6</f>
        <v>2226</v>
      </c>
      <c r="S3" s="54">
        <f>'PSoC Chart'!F6</f>
        <v>2862</v>
      </c>
      <c r="T3" s="54">
        <f>'PSoC Chart'!G6</f>
        <v>3498</v>
      </c>
      <c r="U3" s="54">
        <f>'PSoC Chart'!H6</f>
        <v>4134</v>
      </c>
      <c r="V3" s="54">
        <f>'PSoC Chart'!I6</f>
        <v>4770</v>
      </c>
      <c r="W3" s="54">
        <f>'PSoC Chart'!J6</f>
        <v>5406</v>
      </c>
    </row>
    <row r="4" spans="14:23" x14ac:dyDescent="0.4">
      <c r="N4" t="s">
        <v>23</v>
      </c>
      <c r="O4" s="54">
        <f>'PSoC Chart'!B12</f>
        <v>1</v>
      </c>
      <c r="P4" s="54">
        <f>'PSoC Chart'!C12</f>
        <v>28</v>
      </c>
      <c r="Q4" s="54">
        <f>'PSoC Chart'!D12</f>
        <v>57</v>
      </c>
      <c r="R4" s="54">
        <f>'PSoC Chart'!E12</f>
        <v>95</v>
      </c>
      <c r="S4" s="54">
        <f>'PSoC Chart'!F12</f>
        <v>141</v>
      </c>
      <c r="T4" s="54">
        <f>'PSoC Chart'!G12</f>
        <v>196</v>
      </c>
      <c r="U4" s="54">
        <f>'PSoC Chart'!H12</f>
        <v>259</v>
      </c>
      <c r="V4" s="54">
        <f>'PSoC Chart'!I12</f>
        <v>330</v>
      </c>
      <c r="W4" s="54">
        <f>'PSoC Chart'!J12</f>
        <v>378</v>
      </c>
    </row>
    <row r="5" spans="14:23" x14ac:dyDescent="0.4">
      <c r="O5" s="53"/>
      <c r="P5" s="53"/>
      <c r="Q5" s="53"/>
      <c r="R5" s="53"/>
      <c r="S5" s="53"/>
      <c r="T5" s="53"/>
      <c r="U5" s="53"/>
      <c r="V5" s="53"/>
      <c r="W5" s="53"/>
    </row>
    <row r="22" spans="1:23" x14ac:dyDescent="0.4">
      <c r="N22" s="1" t="s">
        <v>24</v>
      </c>
    </row>
    <row r="23" spans="1:23" x14ac:dyDescent="0.4">
      <c r="N23" s="52" t="s">
        <v>21</v>
      </c>
      <c r="O23" s="52">
        <f>'PSoC Chart'!B2</f>
        <v>0.01</v>
      </c>
      <c r="P23" s="52">
        <f>'PSoC Chart'!C2</f>
        <v>0.15</v>
      </c>
      <c r="Q23" s="52">
        <f>'PSoC Chart'!D2</f>
        <v>0.25</v>
      </c>
      <c r="R23" s="52">
        <f>'PSoC Chart'!E2</f>
        <v>0.35</v>
      </c>
      <c r="S23" s="52">
        <f>'PSoC Chart'!F2</f>
        <v>0.45</v>
      </c>
      <c r="T23" s="52">
        <f>'PSoC Chart'!G2</f>
        <v>0.55000000000000004</v>
      </c>
      <c r="U23" s="52">
        <f>'PSoC Chart'!H2</f>
        <v>0.65</v>
      </c>
      <c r="V23" s="52">
        <f>'PSoC Chart'!I2</f>
        <v>0.75</v>
      </c>
      <c r="W23" s="52">
        <f>'PSoC Chart'!J2</f>
        <v>0.85</v>
      </c>
    </row>
    <row r="24" spans="1:23" x14ac:dyDescent="0.4">
      <c r="N24" t="s">
        <v>25</v>
      </c>
      <c r="O24" s="54" cm="1">
        <f t="array" ref="O24:W24">'PSoC Chart'!B15:J15</f>
        <v>79</v>
      </c>
      <c r="P24" s="54">
        <v>1179</v>
      </c>
      <c r="Q24" s="54">
        <v>1965</v>
      </c>
      <c r="R24" s="54">
        <v>2750</v>
      </c>
      <c r="S24" s="54">
        <v>3536</v>
      </c>
      <c r="T24" s="54">
        <v>4322</v>
      </c>
      <c r="U24" s="54">
        <v>5108</v>
      </c>
      <c r="V24" s="54">
        <v>5893</v>
      </c>
      <c r="W24" s="54">
        <v>6678</v>
      </c>
    </row>
    <row r="25" spans="1:23" x14ac:dyDescent="0.4">
      <c r="N25" t="s">
        <v>23</v>
      </c>
      <c r="O25" s="54">
        <f>'PSoC Chart'!B27</f>
        <v>2</v>
      </c>
      <c r="P25" s="54">
        <f>'PSoC Chart'!C27</f>
        <v>35</v>
      </c>
      <c r="Q25" s="54">
        <f>'PSoC Chart'!D27</f>
        <v>71</v>
      </c>
      <c r="R25" s="54">
        <f>'PSoC Chart'!E27</f>
        <v>117</v>
      </c>
      <c r="S25" s="54">
        <f>'PSoC Chart'!F27</f>
        <v>174</v>
      </c>
      <c r="T25" s="54">
        <f>'PSoC Chart'!G27</f>
        <v>242</v>
      </c>
      <c r="U25" s="54">
        <f>'PSoC Chart'!H27</f>
        <v>320</v>
      </c>
      <c r="V25" s="54">
        <f>'PSoC Chart'!I27</f>
        <v>408</v>
      </c>
      <c r="W25" s="54">
        <f>'PSoC Chart'!J27</f>
        <v>467</v>
      </c>
    </row>
    <row r="26" spans="1:23" x14ac:dyDescent="0.4">
      <c r="N26" t="s">
        <v>26</v>
      </c>
      <c r="O26" s="54">
        <f>'PSoC Chart'!B29</f>
        <v>2</v>
      </c>
      <c r="P26" s="54">
        <f>'PSoC Chart'!C29</f>
        <v>37</v>
      </c>
      <c r="Q26" s="54">
        <f>'PSoC Chart'!D29</f>
        <v>78</v>
      </c>
      <c r="R26" s="54">
        <f>'PSoC Chart'!E29</f>
        <v>132</v>
      </c>
      <c r="S26" s="54">
        <f>'PSoC Chart'!F29</f>
        <v>198</v>
      </c>
      <c r="T26" s="54">
        <f>'PSoC Chart'!G29</f>
        <v>278</v>
      </c>
      <c r="U26" s="54">
        <f>'PSoC Chart'!H29</f>
        <v>358</v>
      </c>
      <c r="V26" s="54">
        <f>'PSoC Chart'!I29</f>
        <v>413</v>
      </c>
      <c r="W26" s="54">
        <f>'PSoC Chart'!J29</f>
        <v>467</v>
      </c>
    </row>
    <row r="27" spans="1:23" x14ac:dyDescent="0.4">
      <c r="A27" s="1"/>
    </row>
    <row r="43" spans="14:23" x14ac:dyDescent="0.4">
      <c r="N43" s="1" t="s">
        <v>27</v>
      </c>
    </row>
    <row r="44" spans="14:23" x14ac:dyDescent="0.4">
      <c r="N44" t="s">
        <v>21</v>
      </c>
      <c r="O44" s="81">
        <f>'PSoC Chart'!B2</f>
        <v>0.01</v>
      </c>
      <c r="P44" s="81">
        <f>'PSoC Chart'!C2</f>
        <v>0.15</v>
      </c>
      <c r="Q44" s="81">
        <f>'PSoC Chart'!D2</f>
        <v>0.25</v>
      </c>
      <c r="R44" s="81">
        <f>'PSoC Chart'!E2</f>
        <v>0.35</v>
      </c>
      <c r="S44" s="81">
        <f>'PSoC Chart'!F2</f>
        <v>0.45</v>
      </c>
      <c r="T44" s="81">
        <f>'PSoC Chart'!G2</f>
        <v>0.55000000000000004</v>
      </c>
      <c r="U44" s="81">
        <f>'PSoC Chart'!H2</f>
        <v>0.65</v>
      </c>
      <c r="V44" s="81">
        <f>'PSoC Chart'!I2</f>
        <v>0.75</v>
      </c>
      <c r="W44" s="81">
        <f>'PSoC Chart'!J2</f>
        <v>0.85</v>
      </c>
    </row>
    <row r="45" spans="14:23" x14ac:dyDescent="0.4">
      <c r="N45" t="s">
        <v>25</v>
      </c>
      <c r="O45" s="54">
        <f>'PSoC Chart'!B32</f>
        <v>94</v>
      </c>
      <c r="P45" s="54">
        <f>'PSoC Chart'!C32</f>
        <v>1403</v>
      </c>
      <c r="Q45" s="54">
        <f>'PSoC Chart'!D32</f>
        <v>2339</v>
      </c>
      <c r="R45" s="54">
        <f>'PSoC Chart'!E32</f>
        <v>3274</v>
      </c>
      <c r="S45" s="54">
        <f>'PSoC Chart'!F32</f>
        <v>4209</v>
      </c>
      <c r="T45" s="54">
        <f>'PSoC Chart'!G32</f>
        <v>5145</v>
      </c>
      <c r="U45" s="54">
        <f>'PSoC Chart'!H32</f>
        <v>6080</v>
      </c>
      <c r="V45" s="54">
        <f>'PSoC Chart'!I32</f>
        <v>7015</v>
      </c>
      <c r="W45" s="54">
        <f>'PSoC Chart'!J32</f>
        <v>7950</v>
      </c>
    </row>
    <row r="46" spans="14:23" x14ac:dyDescent="0.4">
      <c r="N46" t="s">
        <v>23</v>
      </c>
      <c r="O46" s="54">
        <f>'PSoC Chart'!B53</f>
        <v>2</v>
      </c>
      <c r="P46" s="54">
        <f>'PSoC Chart'!C53</f>
        <v>41</v>
      </c>
      <c r="Q46" s="54">
        <f>'PSoC Chart'!D53</f>
        <v>84</v>
      </c>
      <c r="R46" s="54">
        <f>'PSoC Chart'!E53</f>
        <v>140</v>
      </c>
      <c r="S46" s="54">
        <f>'PSoC Chart'!F53</f>
        <v>208</v>
      </c>
      <c r="T46" s="54">
        <f>'PSoC Chart'!G53</f>
        <v>288</v>
      </c>
      <c r="U46" s="54">
        <f>'PSoC Chart'!H53</f>
        <v>381</v>
      </c>
      <c r="V46" s="54">
        <f>'PSoC Chart'!I53</f>
        <v>486</v>
      </c>
      <c r="W46" s="54">
        <f>'PSoC Chart'!J53</f>
        <v>557</v>
      </c>
    </row>
    <row r="47" spans="14:23" x14ac:dyDescent="0.4">
      <c r="N47" t="s">
        <v>26</v>
      </c>
      <c r="O47" s="54">
        <f>'PSoC Chart'!B55</f>
        <v>2</v>
      </c>
      <c r="P47" s="54">
        <f>'PSoC Chart'!C55</f>
        <v>44</v>
      </c>
      <c r="Q47" s="54">
        <f>'PSoC Chart'!D55</f>
        <v>93</v>
      </c>
      <c r="R47" s="54">
        <f>'PSoC Chart'!E55</f>
        <v>157</v>
      </c>
      <c r="S47" s="54">
        <f>'PSoC Chart'!F55</f>
        <v>236</v>
      </c>
      <c r="T47" s="54">
        <f>'PSoC Chart'!G55</f>
        <v>330</v>
      </c>
      <c r="U47" s="54">
        <f>'PSoC Chart'!H55</f>
        <v>426</v>
      </c>
      <c r="V47" s="54">
        <f>'PSoC Chart'!I55</f>
        <v>491</v>
      </c>
      <c r="W47" s="54">
        <f>'PSoC Chart'!J55</f>
        <v>557</v>
      </c>
    </row>
    <row r="48" spans="14:23" x14ac:dyDescent="0.4">
      <c r="N48" t="s">
        <v>28</v>
      </c>
      <c r="O48" s="54">
        <f>'PSoC Chart'!B57</f>
        <v>2</v>
      </c>
      <c r="P48" s="54">
        <f>'PSoC Chart'!C57</f>
        <v>47</v>
      </c>
      <c r="Q48" s="54">
        <f>'PSoC Chart'!D57</f>
        <v>102</v>
      </c>
      <c r="R48" s="54">
        <f>'PSoC Chart'!E57</f>
        <v>174</v>
      </c>
      <c r="S48" s="54">
        <f>'PSoC Chart'!F57</f>
        <v>264</v>
      </c>
      <c r="T48" s="54">
        <f>'PSoC Chart'!G57</f>
        <v>360</v>
      </c>
      <c r="U48" s="54">
        <f>'PSoC Chart'!H57</f>
        <v>426</v>
      </c>
      <c r="V48" s="54">
        <f>'PSoC Chart'!I57</f>
        <v>491</v>
      </c>
      <c r="W48" s="54">
        <f>'PSoC Chart'!J57</f>
        <v>557</v>
      </c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0BA6-D60E-4939-8781-87731A4BE5B2}">
  <sheetPr>
    <pageSetUpPr fitToPage="1"/>
  </sheetPr>
  <dimension ref="A1:S97"/>
  <sheetViews>
    <sheetView zoomScale="90" zoomScaleNormal="90" workbookViewId="0">
      <selection activeCell="M32" sqref="M32"/>
    </sheetView>
  </sheetViews>
  <sheetFormatPr defaultColWidth="8.84375" defaultRowHeight="14.6" x14ac:dyDescent="0.4"/>
  <cols>
    <col min="1" max="1" width="36.3828125" customWidth="1"/>
    <col min="2" max="2" width="9.3828125" customWidth="1"/>
    <col min="3" max="3" width="10" customWidth="1"/>
    <col min="4" max="4" width="10.3828125" bestFit="1" customWidth="1"/>
    <col min="5" max="9" width="10.3828125" customWidth="1"/>
    <col min="10" max="10" width="10.3828125" bestFit="1" customWidth="1"/>
  </cols>
  <sheetData>
    <row r="1" spans="1:11" ht="18" customHeight="1" thickBot="1" x14ac:dyDescent="0.55000000000000004">
      <c r="A1" s="45" t="s">
        <v>29</v>
      </c>
      <c r="D1" s="44"/>
      <c r="E1" s="44"/>
      <c r="F1" s="44"/>
      <c r="G1" s="44"/>
      <c r="H1" s="44"/>
      <c r="I1" s="44"/>
      <c r="J1" s="44"/>
    </row>
    <row r="2" spans="1:11" ht="14.5" customHeight="1" thickBot="1" x14ac:dyDescent="0.45">
      <c r="A2" s="170" t="s">
        <v>30</v>
      </c>
      <c r="B2" s="171">
        <v>0.01</v>
      </c>
      <c r="C2" s="171">
        <v>0.15</v>
      </c>
      <c r="D2" s="171">
        <v>0.25</v>
      </c>
      <c r="E2" s="171">
        <v>0.35</v>
      </c>
      <c r="F2" s="171">
        <v>0.45</v>
      </c>
      <c r="G2" s="171">
        <v>0.55000000000000004</v>
      </c>
      <c r="H2" s="171">
        <v>0.65</v>
      </c>
      <c r="I2" s="171">
        <v>0.75</v>
      </c>
      <c r="J2" s="172">
        <v>0.85</v>
      </c>
    </row>
    <row r="3" spans="1:11" ht="14.5" customHeight="1" x14ac:dyDescent="0.4">
      <c r="A3" s="160" t="s">
        <v>31</v>
      </c>
      <c r="B3" s="168">
        <f>B9</f>
        <v>2.0004188679245284E-2</v>
      </c>
      <c r="C3" s="168">
        <f>C9</f>
        <v>2.9324000000000003E-2</v>
      </c>
      <c r="D3" s="168">
        <f t="shared" ref="D3:J3" si="0">D9</f>
        <v>3.5984000000000002E-2</v>
      </c>
      <c r="E3" s="168">
        <f t="shared" si="0"/>
        <v>4.2644000000000001E-2</v>
      </c>
      <c r="F3" s="168">
        <f t="shared" si="0"/>
        <v>4.9304000000000001E-2</v>
      </c>
      <c r="G3" s="168">
        <f t="shared" si="0"/>
        <v>5.5964000000000014E-2</v>
      </c>
      <c r="H3" s="168">
        <f t="shared" si="0"/>
        <v>6.2623999999999999E-2</v>
      </c>
      <c r="I3" s="168">
        <f t="shared" si="0"/>
        <v>6.9283999999999998E-2</v>
      </c>
      <c r="J3" s="169">
        <f t="shared" si="0"/>
        <v>7.0000000000000007E-2</v>
      </c>
      <c r="K3" s="52"/>
    </row>
    <row r="4" spans="1:11" ht="14.5" customHeight="1" thickBot="1" x14ac:dyDescent="0.45">
      <c r="A4" s="160" t="s">
        <v>32</v>
      </c>
      <c r="B4" s="82">
        <f>B23</f>
        <v>1.508209240168E-4</v>
      </c>
      <c r="C4" s="82">
        <f>C23</f>
        <v>2.25085910652921E-3</v>
      </c>
      <c r="D4" s="82">
        <f t="shared" ref="D4:J4" si="1">D23</f>
        <v>3.7514318442153499E-3</v>
      </c>
      <c r="E4" s="82">
        <f t="shared" si="1"/>
        <v>5.2500954562810231E-3</v>
      </c>
      <c r="F4" s="82">
        <f t="shared" si="1"/>
        <v>6.7506681939671631E-3</v>
      </c>
      <c r="G4" s="82">
        <f t="shared" si="1"/>
        <v>8.2512409316533031E-3</v>
      </c>
      <c r="H4" s="82">
        <f t="shared" si="1"/>
        <v>7.36794730813288E-3</v>
      </c>
      <c r="I4" s="82">
        <f t="shared" si="1"/>
        <v>7.1388087056128979E-4</v>
      </c>
      <c r="J4" s="161">
        <f t="shared" si="1"/>
        <v>0</v>
      </c>
    </row>
    <row r="5" spans="1:11" ht="15" thickBot="1" x14ac:dyDescent="0.45">
      <c r="A5" s="149" t="s">
        <v>33</v>
      </c>
      <c r="B5" s="150"/>
      <c r="C5" s="151"/>
      <c r="D5" s="152"/>
      <c r="E5" s="152"/>
      <c r="F5" s="152"/>
      <c r="G5" s="152"/>
      <c r="H5" s="152"/>
      <c r="I5" s="152"/>
      <c r="J5" s="153"/>
    </row>
    <row r="6" spans="1:11" ht="15" thickBot="1" x14ac:dyDescent="0.45">
      <c r="A6" s="154" t="s">
        <v>22</v>
      </c>
      <c r="B6" s="59">
        <f>ROUNDUP(SMI!$B3*B$2,0)</f>
        <v>64</v>
      </c>
      <c r="C6" s="60">
        <f>ROUNDUP(SMI!$B3*C$2,0)</f>
        <v>954</v>
      </c>
      <c r="D6" s="60">
        <f>ROUNDUP(SMI!$B3*D$2,0)</f>
        <v>1590</v>
      </c>
      <c r="E6" s="60">
        <f>ROUNDUP(SMI!$B3*E$2,0)</f>
        <v>2226</v>
      </c>
      <c r="F6" s="60">
        <f>ROUNDUP(SMI!$B3*F$2,0)</f>
        <v>2862</v>
      </c>
      <c r="G6" s="60">
        <f>ROUNDUP(SMI!$B3*G$2,0)</f>
        <v>3498</v>
      </c>
      <c r="H6" s="60">
        <f>ROUNDUP(SMI!$B3*H$2,0)</f>
        <v>4134</v>
      </c>
      <c r="I6" s="60">
        <f>ROUNDUP(SMI!$B3*I$2,0)</f>
        <v>4770</v>
      </c>
      <c r="J6" s="61">
        <f>ROUND(SMI!$B3*J$2,0)</f>
        <v>5406</v>
      </c>
    </row>
    <row r="7" spans="1:11" x14ac:dyDescent="0.4">
      <c r="A7" s="66" t="s">
        <v>34</v>
      </c>
      <c r="B7" s="107">
        <f>B6/SMI!$B$3</f>
        <v>1.0062893081761006E-2</v>
      </c>
      <c r="C7" s="108">
        <f>C6/SMI!$B$3</f>
        <v>0.15</v>
      </c>
      <c r="D7" s="108">
        <f>D6/SMI!$B$3</f>
        <v>0.25</v>
      </c>
      <c r="E7" s="108">
        <f>E6/SMI!$B$3</f>
        <v>0.35</v>
      </c>
      <c r="F7" s="108">
        <f>F6/SMI!$B$3</f>
        <v>0.45</v>
      </c>
      <c r="G7" s="108">
        <f>G6/SMI!$B$3</f>
        <v>0.55000000000000004</v>
      </c>
      <c r="H7" s="108">
        <f>H6/SMI!$B$3</f>
        <v>0.65</v>
      </c>
      <c r="I7" s="108">
        <f>I6/SMI!$B$3</f>
        <v>0.75</v>
      </c>
      <c r="J7" s="109">
        <f>ROUND(J6/SMI!$B$3,5)</f>
        <v>0.85</v>
      </c>
    </row>
    <row r="8" spans="1:11" x14ac:dyDescent="0.4">
      <c r="A8" s="67" t="s">
        <v>35</v>
      </c>
      <c r="B8" s="62">
        <f>IF(B7&lt;0.01,0,(((B7*100)-1)*0.000666)+0.02)</f>
        <v>2.0004188679245284E-2</v>
      </c>
      <c r="C8" s="58">
        <f>IF(C7&lt;0.01,0,(((C7*100)-1)*0.000666)+0.02)</f>
        <v>2.9324000000000003E-2</v>
      </c>
      <c r="D8" s="58">
        <f t="shared" ref="D8:I8" si="2">IF(D7&lt;0.01,0,(((D7*100)-1)*0.000666)+0.02)</f>
        <v>3.5984000000000002E-2</v>
      </c>
      <c r="E8" s="58">
        <f t="shared" si="2"/>
        <v>4.2644000000000001E-2</v>
      </c>
      <c r="F8" s="58">
        <f t="shared" si="2"/>
        <v>4.9304000000000001E-2</v>
      </c>
      <c r="G8" s="58">
        <f t="shared" si="2"/>
        <v>5.5964000000000014E-2</v>
      </c>
      <c r="H8" s="58">
        <f t="shared" si="2"/>
        <v>6.2623999999999999E-2</v>
      </c>
      <c r="I8" s="58">
        <f t="shared" si="2"/>
        <v>6.9283999999999998E-2</v>
      </c>
      <c r="J8" s="63">
        <f>IF(J7&lt;0.01,0,(((J7*100)-1)*0.000666)+0.02)</f>
        <v>7.5943999999999998E-2</v>
      </c>
    </row>
    <row r="9" spans="1:11" ht="15" thickBot="1" x14ac:dyDescent="0.45">
      <c r="A9" s="68" t="s">
        <v>36</v>
      </c>
      <c r="B9" s="69">
        <f t="shared" ref="B9:J9" si="3">IF(B8&gt;0.07,0.07,B8)</f>
        <v>2.0004188679245284E-2</v>
      </c>
      <c r="C9" s="70">
        <f>IF(C8&gt;0.07,0.07,C8)</f>
        <v>2.9324000000000003E-2</v>
      </c>
      <c r="D9" s="70">
        <f t="shared" si="3"/>
        <v>3.5984000000000002E-2</v>
      </c>
      <c r="E9" s="70">
        <f t="shared" si="3"/>
        <v>4.2644000000000001E-2</v>
      </c>
      <c r="F9" s="70">
        <f t="shared" si="3"/>
        <v>4.9304000000000001E-2</v>
      </c>
      <c r="G9" s="70">
        <f t="shared" si="3"/>
        <v>5.5964000000000014E-2</v>
      </c>
      <c r="H9" s="70">
        <f t="shared" si="3"/>
        <v>6.2623999999999999E-2</v>
      </c>
      <c r="I9" s="70">
        <f t="shared" si="3"/>
        <v>6.9283999999999998E-2</v>
      </c>
      <c r="J9" s="71">
        <f t="shared" si="3"/>
        <v>7.0000000000000007E-2</v>
      </c>
    </row>
    <row r="10" spans="1:11" x14ac:dyDescent="0.4">
      <c r="A10" s="72" t="s">
        <v>36</v>
      </c>
      <c r="B10" s="73">
        <f t="shared" ref="B10:J10" si="4">B6*0.07</f>
        <v>4.4800000000000004</v>
      </c>
      <c r="C10" s="74">
        <f t="shared" si="4"/>
        <v>66.78</v>
      </c>
      <c r="D10" s="74">
        <f t="shared" si="4"/>
        <v>111.30000000000001</v>
      </c>
      <c r="E10" s="74">
        <f t="shared" si="4"/>
        <v>155.82000000000002</v>
      </c>
      <c r="F10" s="74">
        <f t="shared" si="4"/>
        <v>200.34000000000003</v>
      </c>
      <c r="G10" s="74">
        <f t="shared" si="4"/>
        <v>244.86</v>
      </c>
      <c r="H10" s="74">
        <f t="shared" si="4"/>
        <v>289.38000000000005</v>
      </c>
      <c r="I10" s="74">
        <f t="shared" si="4"/>
        <v>333.90000000000003</v>
      </c>
      <c r="J10" s="75">
        <f t="shared" si="4"/>
        <v>378.42</v>
      </c>
    </row>
    <row r="11" spans="1:11" ht="15" thickBot="1" x14ac:dyDescent="0.45">
      <c r="A11" s="76" t="s">
        <v>37</v>
      </c>
      <c r="B11" s="77">
        <f t="shared" ref="B11:J11" si="5">B8*B6</f>
        <v>1.2802680754716982</v>
      </c>
      <c r="C11" s="78">
        <f t="shared" si="5"/>
        <v>27.975096000000004</v>
      </c>
      <c r="D11" s="78">
        <f t="shared" si="5"/>
        <v>57.214560000000006</v>
      </c>
      <c r="E11" s="78">
        <f t="shared" si="5"/>
        <v>94.925544000000002</v>
      </c>
      <c r="F11" s="78">
        <f t="shared" si="5"/>
        <v>141.108048</v>
      </c>
      <c r="G11" s="78">
        <f t="shared" si="5"/>
        <v>195.76207200000005</v>
      </c>
      <c r="H11" s="78">
        <f t="shared" si="5"/>
        <v>258.88761599999998</v>
      </c>
      <c r="I11" s="78">
        <f t="shared" si="5"/>
        <v>330.48467999999997</v>
      </c>
      <c r="J11" s="79">
        <f t="shared" si="5"/>
        <v>410.55326400000001</v>
      </c>
    </row>
    <row r="12" spans="1:11" x14ac:dyDescent="0.4">
      <c r="A12" s="155" t="s">
        <v>23</v>
      </c>
      <c r="B12" s="131">
        <f t="shared" ref="B12:J12" si="6">IF(ROUND(B11,0)&gt;B10,ROUND(B10,0),ROUND(B11,0))</f>
        <v>1</v>
      </c>
      <c r="C12" s="132">
        <f t="shared" si="6"/>
        <v>28</v>
      </c>
      <c r="D12" s="132">
        <f t="shared" si="6"/>
        <v>57</v>
      </c>
      <c r="E12" s="132">
        <f t="shared" si="6"/>
        <v>95</v>
      </c>
      <c r="F12" s="132">
        <f t="shared" si="6"/>
        <v>141</v>
      </c>
      <c r="G12" s="132">
        <f t="shared" si="6"/>
        <v>196</v>
      </c>
      <c r="H12" s="132">
        <f t="shared" si="6"/>
        <v>259</v>
      </c>
      <c r="I12" s="132">
        <f t="shared" si="6"/>
        <v>330</v>
      </c>
      <c r="J12" s="133">
        <f t="shared" si="6"/>
        <v>378</v>
      </c>
    </row>
    <row r="13" spans="1:11" ht="15" thickBot="1" x14ac:dyDescent="0.45">
      <c r="A13" s="156" t="s">
        <v>38</v>
      </c>
      <c r="B13" s="134">
        <f>ROUND((B12/22)*5,0)</f>
        <v>0</v>
      </c>
      <c r="C13" s="135">
        <f>ROUND((C12/22)*5,0)</f>
        <v>6</v>
      </c>
      <c r="D13" s="135">
        <f t="shared" ref="D13:J13" si="7">ROUND((D12/22)*5,0)</f>
        <v>13</v>
      </c>
      <c r="E13" s="135">
        <f t="shared" si="7"/>
        <v>22</v>
      </c>
      <c r="F13" s="135">
        <f t="shared" si="7"/>
        <v>32</v>
      </c>
      <c r="G13" s="135">
        <f t="shared" si="7"/>
        <v>45</v>
      </c>
      <c r="H13" s="135">
        <f t="shared" si="7"/>
        <v>59</v>
      </c>
      <c r="I13" s="135">
        <f t="shared" si="7"/>
        <v>75</v>
      </c>
      <c r="J13" s="136">
        <f t="shared" si="7"/>
        <v>86</v>
      </c>
    </row>
    <row r="14" spans="1:11" ht="15" thickBot="1" x14ac:dyDescent="0.45">
      <c r="A14" s="149" t="s">
        <v>39</v>
      </c>
      <c r="B14" s="150"/>
      <c r="C14" s="151"/>
      <c r="D14" s="152"/>
      <c r="E14" s="152"/>
      <c r="F14" s="152"/>
      <c r="G14" s="152"/>
      <c r="H14" s="152"/>
      <c r="I14" s="152"/>
      <c r="J14" s="153"/>
    </row>
    <row r="15" spans="1:11" x14ac:dyDescent="0.4">
      <c r="A15" s="162" t="s">
        <v>22</v>
      </c>
      <c r="B15" s="146">
        <f>ROUNDUP(SMI!$B4*B$2,0)</f>
        <v>79</v>
      </c>
      <c r="C15" s="147">
        <f>ROUNDUP(SMI!$B4*C$2,0)</f>
        <v>1179</v>
      </c>
      <c r="D15" s="147">
        <f>ROUNDUP(SMI!$B4*D$2,0)</f>
        <v>1965</v>
      </c>
      <c r="E15" s="147">
        <f>ROUNDUP(SMI!$B4*E$2,0)</f>
        <v>2750</v>
      </c>
      <c r="F15" s="147">
        <f>ROUNDUP(SMI!$B4*F$2,0)</f>
        <v>3536</v>
      </c>
      <c r="G15" s="147">
        <f>ROUNDUP(SMI!$B4*G$2,0)</f>
        <v>4322</v>
      </c>
      <c r="H15" s="147">
        <f>ROUNDUP(SMI!$B4*H$2,0)</f>
        <v>5108</v>
      </c>
      <c r="I15" s="147">
        <f>ROUNDUP(SMI!$B4*I$2,0)</f>
        <v>5893</v>
      </c>
      <c r="J15" s="148">
        <f>ROUND(SMI!$B4*J$2,0)</f>
        <v>6678</v>
      </c>
    </row>
    <row r="16" spans="1:11" hidden="1" x14ac:dyDescent="0.4">
      <c r="A16" s="66" t="s">
        <v>21</v>
      </c>
      <c r="B16" s="107">
        <f>B15/SMI!$B$4</f>
        <v>1.0054728267786688E-2</v>
      </c>
      <c r="C16" s="108">
        <f>C15/SMI!$B$4</f>
        <v>0.15005727376861397</v>
      </c>
      <c r="D16" s="108">
        <f>D15/SMI!$B$4</f>
        <v>0.25009545628102331</v>
      </c>
      <c r="E16" s="108">
        <f>E15/SMI!$B$4</f>
        <v>0.35000636375206823</v>
      </c>
      <c r="F16" s="108">
        <f>F15/SMI!$B$4</f>
        <v>0.45004454626447754</v>
      </c>
      <c r="G16" s="108">
        <f>G15/SMI!$B$4</f>
        <v>0.5500827287768868</v>
      </c>
      <c r="H16" s="108">
        <f>H15/SMI!$B$4</f>
        <v>0.65012091128929617</v>
      </c>
      <c r="I16" s="108">
        <f>I15/SMI!$B$4</f>
        <v>0.75003181876034108</v>
      </c>
      <c r="J16" s="109">
        <f>J15/SMI!$B$4</f>
        <v>0.849942726231386</v>
      </c>
    </row>
    <row r="17" spans="1:19" hidden="1" x14ac:dyDescent="0.4">
      <c r="A17" s="67" t="s">
        <v>40</v>
      </c>
      <c r="B17" s="62">
        <f>IF(B16&lt;0.01,0,(((B16*100)-1)*0.000666)+0.02)</f>
        <v>2.0003644902634593E-2</v>
      </c>
      <c r="C17" s="58">
        <f>IF(C16&lt;0.01,0,(((C16*100)-1)*0.000666)+0.02)</f>
        <v>2.9327814432989693E-2</v>
      </c>
      <c r="D17" s="58">
        <f t="shared" ref="D17:J17" si="8">IF(D16&lt;0.01,0,(((D16*100)-1)*0.000666)+0.02)</f>
        <v>3.5990357388316158E-2</v>
      </c>
      <c r="E17" s="58">
        <f t="shared" si="8"/>
        <v>4.2644423825887748E-2</v>
      </c>
      <c r="F17" s="58">
        <f t="shared" si="8"/>
        <v>4.9306966781214205E-2</v>
      </c>
      <c r="G17" s="58">
        <f t="shared" si="8"/>
        <v>5.5969509736540662E-2</v>
      </c>
      <c r="H17" s="58">
        <f t="shared" si="8"/>
        <v>6.2632052691867127E-2</v>
      </c>
      <c r="I17" s="58">
        <f t="shared" si="8"/>
        <v>6.9286119129438717E-2</v>
      </c>
      <c r="J17" s="63">
        <f t="shared" si="8"/>
        <v>7.5940185567010307E-2</v>
      </c>
      <c r="L17" s="50"/>
      <c r="M17" s="50"/>
    </row>
    <row r="18" spans="1:19" ht="15" hidden="1" thickBot="1" x14ac:dyDescent="0.45">
      <c r="A18" s="68" t="s">
        <v>41</v>
      </c>
      <c r="B18" s="105">
        <f>IF(B17&gt;0.07,0.07,B17)</f>
        <v>2.0003644902634593E-2</v>
      </c>
      <c r="C18" s="83">
        <f t="shared" ref="C18:J18" si="9">IF(C17&gt;0.07,0.07,C17)</f>
        <v>2.9327814432989693E-2</v>
      </c>
      <c r="D18" s="83">
        <f t="shared" si="9"/>
        <v>3.5990357388316158E-2</v>
      </c>
      <c r="E18" s="83">
        <f t="shared" si="9"/>
        <v>4.2644423825887748E-2</v>
      </c>
      <c r="F18" s="83">
        <f t="shared" si="9"/>
        <v>4.9306966781214205E-2</v>
      </c>
      <c r="G18" s="83">
        <f t="shared" si="9"/>
        <v>5.5969509736540662E-2</v>
      </c>
      <c r="H18" s="83">
        <f t="shared" si="9"/>
        <v>6.2632052691867127E-2</v>
      </c>
      <c r="I18" s="83">
        <f t="shared" si="9"/>
        <v>6.9286119129438717E-2</v>
      </c>
      <c r="J18" s="84">
        <f t="shared" si="9"/>
        <v>7.0000000000000007E-2</v>
      </c>
      <c r="L18" s="50"/>
      <c r="M18" s="50"/>
    </row>
    <row r="19" spans="1:19" hidden="1" x14ac:dyDescent="0.4">
      <c r="A19" s="72" t="s">
        <v>41</v>
      </c>
      <c r="B19" s="73">
        <f t="shared" ref="B19:J19" si="10">B15*0.07</f>
        <v>5.53</v>
      </c>
      <c r="C19" s="74">
        <f t="shared" si="10"/>
        <v>82.53</v>
      </c>
      <c r="D19" s="74">
        <f t="shared" si="10"/>
        <v>137.55000000000001</v>
      </c>
      <c r="E19" s="74">
        <f t="shared" si="10"/>
        <v>192.50000000000003</v>
      </c>
      <c r="F19" s="74">
        <f t="shared" si="10"/>
        <v>247.52</v>
      </c>
      <c r="G19" s="74">
        <f t="shared" si="10"/>
        <v>302.54000000000002</v>
      </c>
      <c r="H19" s="74">
        <f t="shared" si="10"/>
        <v>357.56000000000006</v>
      </c>
      <c r="I19" s="74">
        <f t="shared" si="10"/>
        <v>412.51000000000005</v>
      </c>
      <c r="J19" s="75">
        <f t="shared" si="10"/>
        <v>467.46000000000004</v>
      </c>
    </row>
    <row r="20" spans="1:19" hidden="1" x14ac:dyDescent="0.4">
      <c r="A20" s="80" t="s">
        <v>42</v>
      </c>
      <c r="B20" s="64">
        <f t="shared" ref="B20:J20" si="11">B17*B15</f>
        <v>1.5802879473081328</v>
      </c>
      <c r="C20" s="43">
        <f t="shared" si="11"/>
        <v>34.577493216494851</v>
      </c>
      <c r="D20" s="43">
        <f t="shared" si="11"/>
        <v>70.721052268041248</v>
      </c>
      <c r="E20" s="43">
        <f t="shared" si="11"/>
        <v>117.27216552119131</v>
      </c>
      <c r="F20" s="43">
        <f t="shared" si="11"/>
        <v>174.34943453837343</v>
      </c>
      <c r="G20" s="43">
        <f t="shared" si="11"/>
        <v>241.90022108132874</v>
      </c>
      <c r="H20" s="43">
        <f t="shared" si="11"/>
        <v>319.92452515005726</v>
      </c>
      <c r="I20" s="43">
        <f t="shared" si="11"/>
        <v>408.30310002978234</v>
      </c>
      <c r="J20" s="65">
        <f t="shared" si="11"/>
        <v>507.12855921649481</v>
      </c>
    </row>
    <row r="21" spans="1:19" ht="15" hidden="1" thickBot="1" x14ac:dyDescent="0.45">
      <c r="A21" s="80" t="s">
        <v>43</v>
      </c>
      <c r="B21" s="85">
        <f t="shared" ref="B21:J21" si="12">IF(B20&gt;B19,B19,B20)</f>
        <v>1.5802879473081328</v>
      </c>
      <c r="C21" s="86">
        <f t="shared" si="12"/>
        <v>34.577493216494851</v>
      </c>
      <c r="D21" s="86">
        <f t="shared" si="12"/>
        <v>70.721052268041248</v>
      </c>
      <c r="E21" s="86">
        <f t="shared" si="12"/>
        <v>117.27216552119131</v>
      </c>
      <c r="F21" s="86">
        <f t="shared" si="12"/>
        <v>174.34943453837343</v>
      </c>
      <c r="G21" s="86">
        <f t="shared" si="12"/>
        <v>241.90022108132874</v>
      </c>
      <c r="H21" s="86">
        <f t="shared" si="12"/>
        <v>319.92452515005726</v>
      </c>
      <c r="I21" s="86">
        <f t="shared" si="12"/>
        <v>408.30310002978234</v>
      </c>
      <c r="J21" s="87">
        <f t="shared" si="12"/>
        <v>467.46000000000004</v>
      </c>
    </row>
    <row r="22" spans="1:19" s="42" customFormat="1" hidden="1" x14ac:dyDescent="0.4">
      <c r="A22" s="91" t="s">
        <v>44</v>
      </c>
      <c r="B22" s="99">
        <f t="shared" ref="B22:J22" si="13">B16*0.015</f>
        <v>1.508209240168003E-4</v>
      </c>
      <c r="C22" s="92">
        <f t="shared" si="13"/>
        <v>2.2508591065292095E-3</v>
      </c>
      <c r="D22" s="92">
        <f t="shared" si="13"/>
        <v>3.7514318442153495E-3</v>
      </c>
      <c r="E22" s="92">
        <f t="shared" si="13"/>
        <v>5.2500954562810231E-3</v>
      </c>
      <c r="F22" s="92">
        <f t="shared" si="13"/>
        <v>6.7506681939671631E-3</v>
      </c>
      <c r="G22" s="92">
        <f t="shared" si="13"/>
        <v>8.2512409316533013E-3</v>
      </c>
      <c r="H22" s="92">
        <f t="shared" si="13"/>
        <v>9.7518136693394413E-3</v>
      </c>
      <c r="I22" s="92">
        <f t="shared" si="13"/>
        <v>1.1250477281405116E-2</v>
      </c>
      <c r="J22" s="93">
        <f t="shared" si="13"/>
        <v>1.2749140893470789E-2</v>
      </c>
    </row>
    <row r="23" spans="1:19" hidden="1" x14ac:dyDescent="0.4">
      <c r="A23" s="94" t="s">
        <v>45</v>
      </c>
      <c r="B23" s="100">
        <f>IF(B25-B17&lt;0,0,B25-B17)</f>
        <v>1.508209240168E-4</v>
      </c>
      <c r="C23" s="89">
        <f>IF(C25-C17&lt;0,0,C25-C17)</f>
        <v>2.25085910652921E-3</v>
      </c>
      <c r="D23" s="89">
        <f t="shared" ref="D23:J23" si="14">IF(D25-D17&lt;0,0,D25-D17)</f>
        <v>3.7514318442153499E-3</v>
      </c>
      <c r="E23" s="89">
        <f t="shared" si="14"/>
        <v>5.2500954562810231E-3</v>
      </c>
      <c r="F23" s="89">
        <f t="shared" si="14"/>
        <v>6.7506681939671631E-3</v>
      </c>
      <c r="G23" s="89">
        <f t="shared" si="14"/>
        <v>8.2512409316533031E-3</v>
      </c>
      <c r="H23" s="89">
        <f t="shared" si="14"/>
        <v>7.36794730813288E-3</v>
      </c>
      <c r="I23" s="89">
        <f t="shared" si="14"/>
        <v>7.1388087056128979E-4</v>
      </c>
      <c r="J23" s="95">
        <f t="shared" si="14"/>
        <v>0</v>
      </c>
    </row>
    <row r="24" spans="1:19" hidden="1" x14ac:dyDescent="0.4">
      <c r="A24" s="94" t="s">
        <v>46</v>
      </c>
      <c r="B24" s="100">
        <f t="shared" ref="B24:J24" si="15">B17+B22</f>
        <v>2.0154465826651393E-2</v>
      </c>
      <c r="C24" s="89">
        <f t="shared" si="15"/>
        <v>3.1578673539518903E-2</v>
      </c>
      <c r="D24" s="89">
        <f t="shared" si="15"/>
        <v>3.9741789232531508E-2</v>
      </c>
      <c r="E24" s="89">
        <f t="shared" si="15"/>
        <v>4.7894519282168771E-2</v>
      </c>
      <c r="F24" s="89">
        <f t="shared" si="15"/>
        <v>5.6057634975181368E-2</v>
      </c>
      <c r="G24" s="89">
        <f t="shared" si="15"/>
        <v>6.4220750668193965E-2</v>
      </c>
      <c r="H24" s="89">
        <f t="shared" si="15"/>
        <v>7.238386636120657E-2</v>
      </c>
      <c r="I24" s="89">
        <f t="shared" si="15"/>
        <v>8.0536596410843833E-2</v>
      </c>
      <c r="J24" s="95">
        <f t="shared" si="15"/>
        <v>8.8689326460481097E-2</v>
      </c>
    </row>
    <row r="25" spans="1:19" ht="15" hidden="1" thickBot="1" x14ac:dyDescent="0.45">
      <c r="A25" s="96" t="s">
        <v>47</v>
      </c>
      <c r="B25" s="101">
        <f>IF(B24&gt;0.07,0.07,B24)</f>
        <v>2.0154465826651393E-2</v>
      </c>
      <c r="C25" s="97">
        <f>IF(C24&gt;0.07,0.07,C24)</f>
        <v>3.1578673539518903E-2</v>
      </c>
      <c r="D25" s="97">
        <f t="shared" ref="D25:I25" si="16">IF(D24&gt;0.07,0.07,D24)</f>
        <v>3.9741789232531508E-2</v>
      </c>
      <c r="E25" s="97">
        <f t="shared" si="16"/>
        <v>4.7894519282168771E-2</v>
      </c>
      <c r="F25" s="97">
        <f t="shared" si="16"/>
        <v>5.6057634975181368E-2</v>
      </c>
      <c r="G25" s="97">
        <f t="shared" si="16"/>
        <v>6.4220750668193965E-2</v>
      </c>
      <c r="H25" s="97">
        <f t="shared" si="16"/>
        <v>7.0000000000000007E-2</v>
      </c>
      <c r="I25" s="97">
        <f t="shared" si="16"/>
        <v>7.0000000000000007E-2</v>
      </c>
      <c r="J25" s="98">
        <f>IF(J24&gt;0.07,0.07,J24)</f>
        <v>7.0000000000000007E-2</v>
      </c>
    </row>
    <row r="26" spans="1:19" ht="15" hidden="1" thickBot="1" x14ac:dyDescent="0.45">
      <c r="A26" s="102" t="s">
        <v>48</v>
      </c>
      <c r="B26" s="106">
        <f t="shared" ref="B26:J26" si="17">B23*B15</f>
        <v>1.19148529973272E-2</v>
      </c>
      <c r="C26" s="103">
        <f t="shared" si="17"/>
        <v>2.6537628865979386</v>
      </c>
      <c r="D26" s="103">
        <f t="shared" si="17"/>
        <v>7.3715635738831624</v>
      </c>
      <c r="E26" s="103">
        <f t="shared" si="17"/>
        <v>14.437762504772813</v>
      </c>
      <c r="F26" s="103">
        <f t="shared" si="17"/>
        <v>23.870362733867889</v>
      </c>
      <c r="G26" s="103">
        <f t="shared" si="17"/>
        <v>35.661863306605575</v>
      </c>
      <c r="H26" s="103">
        <f t="shared" si="17"/>
        <v>37.635474849942753</v>
      </c>
      <c r="I26" s="103">
        <f t="shared" si="17"/>
        <v>4.2068999702176804</v>
      </c>
      <c r="J26" s="104">
        <f t="shared" si="17"/>
        <v>0</v>
      </c>
    </row>
    <row r="27" spans="1:19" x14ac:dyDescent="0.4">
      <c r="A27" s="155" t="s">
        <v>23</v>
      </c>
      <c r="B27" s="137">
        <f t="shared" ref="B27:J27" si="18">ROUND(B21,0)</f>
        <v>2</v>
      </c>
      <c r="C27" s="138">
        <f t="shared" si="18"/>
        <v>35</v>
      </c>
      <c r="D27" s="138">
        <f t="shared" si="18"/>
        <v>71</v>
      </c>
      <c r="E27" s="138">
        <f t="shared" si="18"/>
        <v>117</v>
      </c>
      <c r="F27" s="138">
        <f t="shared" si="18"/>
        <v>174</v>
      </c>
      <c r="G27" s="138">
        <f t="shared" si="18"/>
        <v>242</v>
      </c>
      <c r="H27" s="138">
        <f t="shared" si="18"/>
        <v>320</v>
      </c>
      <c r="I27" s="138">
        <f t="shared" si="18"/>
        <v>408</v>
      </c>
      <c r="J27" s="139">
        <f t="shared" si="18"/>
        <v>467</v>
      </c>
    </row>
    <row r="28" spans="1:19" x14ac:dyDescent="0.4">
      <c r="A28" s="155" t="s">
        <v>38</v>
      </c>
      <c r="B28" s="140">
        <f t="shared" ref="B28:J28" si="19">ROUND((B27/22)*5,0)</f>
        <v>0</v>
      </c>
      <c r="C28" s="141">
        <f t="shared" si="19"/>
        <v>8</v>
      </c>
      <c r="D28" s="141">
        <f t="shared" si="19"/>
        <v>16</v>
      </c>
      <c r="E28" s="141">
        <f t="shared" si="19"/>
        <v>27</v>
      </c>
      <c r="F28" s="141">
        <f t="shared" si="19"/>
        <v>40</v>
      </c>
      <c r="G28" s="141">
        <f t="shared" si="19"/>
        <v>55</v>
      </c>
      <c r="H28" s="141">
        <f t="shared" si="19"/>
        <v>73</v>
      </c>
      <c r="I28" s="141">
        <f t="shared" si="19"/>
        <v>93</v>
      </c>
      <c r="J28" s="142">
        <f t="shared" si="19"/>
        <v>106</v>
      </c>
    </row>
    <row r="29" spans="1:19" x14ac:dyDescent="0.4">
      <c r="A29" s="155" t="s">
        <v>26</v>
      </c>
      <c r="B29" s="140">
        <f t="shared" ref="B29:J29" si="20">ROUND(B25*B15,0)</f>
        <v>2</v>
      </c>
      <c r="C29" s="141">
        <f t="shared" si="20"/>
        <v>37</v>
      </c>
      <c r="D29" s="141">
        <f t="shared" si="20"/>
        <v>78</v>
      </c>
      <c r="E29" s="141">
        <f t="shared" si="20"/>
        <v>132</v>
      </c>
      <c r="F29" s="141">
        <f t="shared" si="20"/>
        <v>198</v>
      </c>
      <c r="G29" s="141">
        <f t="shared" si="20"/>
        <v>278</v>
      </c>
      <c r="H29" s="141">
        <f t="shared" si="20"/>
        <v>358</v>
      </c>
      <c r="I29" s="141">
        <f t="shared" si="20"/>
        <v>413</v>
      </c>
      <c r="J29" s="142">
        <f t="shared" si="20"/>
        <v>467</v>
      </c>
      <c r="L29" s="57"/>
      <c r="M29" s="57"/>
      <c r="N29" s="57"/>
      <c r="O29" s="57"/>
      <c r="P29" s="57"/>
      <c r="Q29" s="57"/>
      <c r="R29" s="57"/>
      <c r="S29" s="57"/>
    </row>
    <row r="30" spans="1:19" ht="15" thickBot="1" x14ac:dyDescent="0.45">
      <c r="A30" s="155" t="s">
        <v>49</v>
      </c>
      <c r="B30" s="143">
        <f t="shared" ref="B30:J30" si="21">ROUND((B29/22)*5,0)</f>
        <v>0</v>
      </c>
      <c r="C30" s="144">
        <f t="shared" si="21"/>
        <v>8</v>
      </c>
      <c r="D30" s="144">
        <f t="shared" si="21"/>
        <v>18</v>
      </c>
      <c r="E30" s="144">
        <f t="shared" si="21"/>
        <v>30</v>
      </c>
      <c r="F30" s="144">
        <f t="shared" si="21"/>
        <v>45</v>
      </c>
      <c r="G30" s="144">
        <f t="shared" si="21"/>
        <v>63</v>
      </c>
      <c r="H30" s="144">
        <f t="shared" si="21"/>
        <v>81</v>
      </c>
      <c r="I30" s="144">
        <f t="shared" si="21"/>
        <v>94</v>
      </c>
      <c r="J30" s="145">
        <f t="shared" si="21"/>
        <v>106</v>
      </c>
    </row>
    <row r="31" spans="1:19" ht="15" thickBot="1" x14ac:dyDescent="0.45">
      <c r="A31" s="149" t="s">
        <v>50</v>
      </c>
      <c r="B31" s="150"/>
      <c r="C31" s="151"/>
      <c r="D31" s="152"/>
      <c r="E31" s="152"/>
      <c r="F31" s="152"/>
      <c r="G31" s="152"/>
      <c r="H31" s="152"/>
      <c r="I31" s="152"/>
      <c r="J31" s="153"/>
    </row>
    <row r="32" spans="1:19" x14ac:dyDescent="0.4">
      <c r="A32" s="162" t="s">
        <v>22</v>
      </c>
      <c r="B32" s="157">
        <f>ROUNDUP(SMI!$B5*B$2,0)</f>
        <v>94</v>
      </c>
      <c r="C32" s="158">
        <f>ROUNDUP(SMI!$B5*C$2,0)</f>
        <v>1403</v>
      </c>
      <c r="D32" s="158">
        <f>ROUNDUP(SMI!$B5*D$2,0)</f>
        <v>2339</v>
      </c>
      <c r="E32" s="158">
        <f>ROUNDUP(SMI!$B5*E$2,0)</f>
        <v>3274</v>
      </c>
      <c r="F32" s="158">
        <f>ROUNDUP(SMI!$B5*F$2,0)</f>
        <v>4209</v>
      </c>
      <c r="G32" s="158">
        <f>ROUNDUP(SMI!$B5*G$2,0)</f>
        <v>5145</v>
      </c>
      <c r="H32" s="158">
        <f>ROUNDUP(SMI!$B5*H$2,0)</f>
        <v>6080</v>
      </c>
      <c r="I32" s="158">
        <f>ROUNDUP(SMI!$B5*I$2,0)</f>
        <v>7015</v>
      </c>
      <c r="J32" s="159">
        <f>ROUND(SMI!$B5*J$2,0)</f>
        <v>7950</v>
      </c>
    </row>
    <row r="33" spans="1:10" hidden="1" x14ac:dyDescent="0.4">
      <c r="A33" s="67" t="s">
        <v>21</v>
      </c>
      <c r="B33" s="62">
        <f>B32/SMI!$B$5</f>
        <v>1.0050251256281407E-2</v>
      </c>
      <c r="C33" s="58">
        <f>C32/SMI!$B$5</f>
        <v>0.15000534587832781</v>
      </c>
      <c r="D33" s="58">
        <f>D32/SMI!$B$5</f>
        <v>0.25008018817491712</v>
      </c>
      <c r="E33" s="58">
        <f>E32/SMI!$B$5</f>
        <v>0.3500481129049503</v>
      </c>
      <c r="F33" s="58">
        <f>F32/SMI!$B$5</f>
        <v>0.45001603763498343</v>
      </c>
      <c r="G33" s="58">
        <f>G32/SMI!$B$5</f>
        <v>0.5500908799315728</v>
      </c>
      <c r="H33" s="58">
        <f>H32/SMI!$B$5</f>
        <v>0.65005880466160593</v>
      </c>
      <c r="I33" s="58">
        <f>I32/SMI!$B$5</f>
        <v>0.75002672939163906</v>
      </c>
      <c r="J33" s="63">
        <f>J32/SMI!$B$5</f>
        <v>0.84999465412167219</v>
      </c>
    </row>
    <row r="34" spans="1:10" hidden="1" x14ac:dyDescent="0.4">
      <c r="A34" s="67" t="s">
        <v>51</v>
      </c>
      <c r="B34" s="62">
        <f>IF(B33&lt;0.01,0,(((B33*100)-1)*0.000666)+0.02)</f>
        <v>2.0003346733668343E-2</v>
      </c>
      <c r="C34" s="58">
        <f>IF(C33&lt;0.01,0,(((C33*100)-1)*0.000666)+0.02)</f>
        <v>2.9324356035496633E-2</v>
      </c>
      <c r="D34" s="58">
        <f t="shared" ref="D34:J34" si="22">IF(D33&lt;0.01,0,(((D33*100)-1)*0.000666)+0.02)</f>
        <v>3.5989340532449482E-2</v>
      </c>
      <c r="E34" s="58">
        <f t="shared" si="22"/>
        <v>4.2647204319469695E-2</v>
      </c>
      <c r="F34" s="58">
        <f t="shared" si="22"/>
        <v>4.9305068106489901E-2</v>
      </c>
      <c r="G34" s="58">
        <f t="shared" si="22"/>
        <v>5.5970052603442746E-2</v>
      </c>
      <c r="H34" s="58">
        <f t="shared" si="22"/>
        <v>6.2627916390462959E-2</v>
      </c>
      <c r="I34" s="58">
        <f t="shared" si="22"/>
        <v>6.9285780177483158E-2</v>
      </c>
      <c r="J34" s="63">
        <f t="shared" si="22"/>
        <v>7.5943643964503371E-2</v>
      </c>
    </row>
    <row r="35" spans="1:10" hidden="1" x14ac:dyDescent="0.4">
      <c r="A35" s="67" t="s">
        <v>41</v>
      </c>
      <c r="B35" s="62">
        <f t="shared" ref="B35:J35" si="23">IF(B34&gt;0.07,0.07,B17)</f>
        <v>2.0003644902634593E-2</v>
      </c>
      <c r="C35" s="58">
        <f t="shared" si="23"/>
        <v>2.9327814432989693E-2</v>
      </c>
      <c r="D35" s="58">
        <f t="shared" si="23"/>
        <v>3.5990357388316158E-2</v>
      </c>
      <c r="E35" s="58">
        <f t="shared" si="23"/>
        <v>4.2644423825887748E-2</v>
      </c>
      <c r="F35" s="58">
        <f t="shared" si="23"/>
        <v>4.9306966781214205E-2</v>
      </c>
      <c r="G35" s="58">
        <f t="shared" si="23"/>
        <v>5.5969509736540662E-2</v>
      </c>
      <c r="H35" s="58">
        <f t="shared" si="23"/>
        <v>6.2632052691867127E-2</v>
      </c>
      <c r="I35" s="58">
        <f t="shared" si="23"/>
        <v>6.9286119129438717E-2</v>
      </c>
      <c r="J35" s="63">
        <f t="shared" si="23"/>
        <v>7.0000000000000007E-2</v>
      </c>
    </row>
    <row r="36" spans="1:10" hidden="1" x14ac:dyDescent="0.4">
      <c r="A36" s="80" t="s">
        <v>41</v>
      </c>
      <c r="B36" s="64">
        <f>B32*0.07</f>
        <v>6.580000000000001</v>
      </c>
      <c r="C36" s="43">
        <f>C32*0.07</f>
        <v>98.210000000000008</v>
      </c>
      <c r="D36" s="43">
        <f t="shared" ref="D36:J36" si="24">D32*0.07</f>
        <v>163.73000000000002</v>
      </c>
      <c r="E36" s="43">
        <f t="shared" si="24"/>
        <v>229.18000000000004</v>
      </c>
      <c r="F36" s="43">
        <f t="shared" si="24"/>
        <v>294.63000000000005</v>
      </c>
      <c r="G36" s="43">
        <f t="shared" si="24"/>
        <v>360.15000000000003</v>
      </c>
      <c r="H36" s="43">
        <f t="shared" si="24"/>
        <v>425.6</v>
      </c>
      <c r="I36" s="43">
        <f t="shared" si="24"/>
        <v>491.05000000000007</v>
      </c>
      <c r="J36" s="65">
        <f t="shared" si="24"/>
        <v>556.5</v>
      </c>
    </row>
    <row r="37" spans="1:10" hidden="1" x14ac:dyDescent="0.4">
      <c r="A37" s="80" t="s">
        <v>42</v>
      </c>
      <c r="B37" s="64">
        <f>B34*B32</f>
        <v>1.8803145929648242</v>
      </c>
      <c r="C37" s="43">
        <f>C34*C32</f>
        <v>41.142071517801774</v>
      </c>
      <c r="D37" s="43">
        <f t="shared" ref="D37:J37" si="25">D34*D32</f>
        <v>84.179067505399345</v>
      </c>
      <c r="E37" s="43">
        <f t="shared" si="25"/>
        <v>139.62694694194377</v>
      </c>
      <c r="F37" s="43">
        <f t="shared" si="25"/>
        <v>207.525031660216</v>
      </c>
      <c r="G37" s="43">
        <f t="shared" si="25"/>
        <v>287.96592064471292</v>
      </c>
      <c r="H37" s="43">
        <f t="shared" si="25"/>
        <v>380.77773165401481</v>
      </c>
      <c r="I37" s="43">
        <f t="shared" si="25"/>
        <v>486.03974794504438</v>
      </c>
      <c r="J37" s="65">
        <f t="shared" si="25"/>
        <v>603.75196951780185</v>
      </c>
    </row>
    <row r="38" spans="1:10" hidden="1" x14ac:dyDescent="0.4">
      <c r="A38" s="80" t="s">
        <v>43</v>
      </c>
      <c r="B38" s="64">
        <f>IF(B37&gt;B36,B36,B37)</f>
        <v>1.8803145929648242</v>
      </c>
      <c r="C38" s="43">
        <f t="shared" ref="C38:J38" si="26">IF(C37&gt;C36,C36,C37)</f>
        <v>41.142071517801774</v>
      </c>
      <c r="D38" s="43">
        <f t="shared" si="26"/>
        <v>84.179067505399345</v>
      </c>
      <c r="E38" s="43">
        <f t="shared" si="26"/>
        <v>139.62694694194377</v>
      </c>
      <c r="F38" s="43">
        <f t="shared" si="26"/>
        <v>207.525031660216</v>
      </c>
      <c r="G38" s="43">
        <f t="shared" si="26"/>
        <v>287.96592064471292</v>
      </c>
      <c r="H38" s="43">
        <f t="shared" si="26"/>
        <v>380.77773165401481</v>
      </c>
      <c r="I38" s="43">
        <f t="shared" si="26"/>
        <v>486.03974794504438</v>
      </c>
      <c r="J38" s="65">
        <f t="shared" si="26"/>
        <v>556.5</v>
      </c>
    </row>
    <row r="39" spans="1:10" hidden="1" x14ac:dyDescent="0.4">
      <c r="A39" s="94" t="s">
        <v>52</v>
      </c>
      <c r="B39" s="115">
        <f>B33*0.015</f>
        <v>1.5075376884422112E-4</v>
      </c>
      <c r="C39" s="88">
        <f>C33*0.015</f>
        <v>2.2500801881749173E-3</v>
      </c>
      <c r="D39" s="88">
        <f>D33*0.015</f>
        <v>3.7512028226237568E-3</v>
      </c>
      <c r="E39" s="88">
        <f t="shared" ref="E39:I39" si="27">E33*0.015</f>
        <v>5.2507216935742543E-3</v>
      </c>
      <c r="F39" s="88">
        <f t="shared" si="27"/>
        <v>6.750240564524751E-3</v>
      </c>
      <c r="G39" s="88">
        <f t="shared" si="27"/>
        <v>8.2513631989735922E-3</v>
      </c>
      <c r="H39" s="88">
        <f t="shared" si="27"/>
        <v>9.750882069924088E-3</v>
      </c>
      <c r="I39" s="88">
        <f t="shared" si="27"/>
        <v>1.1250400940874586E-2</v>
      </c>
      <c r="J39" s="116">
        <f>J33*0.015</f>
        <v>1.2749919811825083E-2</v>
      </c>
    </row>
    <row r="40" spans="1:10" hidden="1" x14ac:dyDescent="0.4">
      <c r="A40" s="94" t="s">
        <v>45</v>
      </c>
      <c r="B40" s="115">
        <f>IF(B42-B34&lt;0,0,B42-B34)</f>
        <v>1.5075376884422093E-4</v>
      </c>
      <c r="C40" s="88">
        <f t="shared" ref="C40:J40" si="28">IF(C42-C34&lt;0,0,C42-C34)</f>
        <v>2.2500801881749181E-3</v>
      </c>
      <c r="D40" s="88">
        <f t="shared" si="28"/>
        <v>3.7512028226237559E-3</v>
      </c>
      <c r="E40" s="88">
        <f t="shared" si="28"/>
        <v>5.2507216935742534E-3</v>
      </c>
      <c r="F40" s="88">
        <f t="shared" si="28"/>
        <v>6.750240564524751E-3</v>
      </c>
      <c r="G40" s="88">
        <f t="shared" si="28"/>
        <v>8.2513631989735853E-3</v>
      </c>
      <c r="H40" s="88">
        <f t="shared" si="28"/>
        <v>7.3720836095370473E-3</v>
      </c>
      <c r="I40" s="88">
        <f t="shared" si="28"/>
        <v>7.1421982251684835E-4</v>
      </c>
      <c r="J40" s="116">
        <f t="shared" si="28"/>
        <v>0</v>
      </c>
    </row>
    <row r="41" spans="1:10" hidden="1" x14ac:dyDescent="0.4">
      <c r="A41" s="94" t="s">
        <v>46</v>
      </c>
      <c r="B41" s="100">
        <f>B34+B39</f>
        <v>2.0154100502512564E-2</v>
      </c>
      <c r="C41" s="89">
        <f t="shared" ref="C41:J41" si="29">C34+C39</f>
        <v>3.1574436223671551E-2</v>
      </c>
      <c r="D41" s="89">
        <f t="shared" si="29"/>
        <v>3.9740543355073238E-2</v>
      </c>
      <c r="E41" s="89">
        <f t="shared" si="29"/>
        <v>4.7897926013043948E-2</v>
      </c>
      <c r="F41" s="89">
        <f t="shared" si="29"/>
        <v>5.6055308671014652E-2</v>
      </c>
      <c r="G41" s="89">
        <f t="shared" si="29"/>
        <v>6.4221415802416332E-2</v>
      </c>
      <c r="H41" s="89">
        <f t="shared" si="29"/>
        <v>7.2378798460387042E-2</v>
      </c>
      <c r="I41" s="89">
        <f t="shared" si="29"/>
        <v>8.0536181118357739E-2</v>
      </c>
      <c r="J41" s="95">
        <f t="shared" si="29"/>
        <v>8.8693563776328449E-2</v>
      </c>
    </row>
    <row r="42" spans="1:10" hidden="1" x14ac:dyDescent="0.4">
      <c r="A42" s="94" t="s">
        <v>47</v>
      </c>
      <c r="B42" s="100">
        <f t="shared" ref="B42:J42" si="30">IF(B41&gt;0.07,0.07,B41)</f>
        <v>2.0154100502512564E-2</v>
      </c>
      <c r="C42" s="89">
        <f t="shared" si="30"/>
        <v>3.1574436223671551E-2</v>
      </c>
      <c r="D42" s="89">
        <f t="shared" si="30"/>
        <v>3.9740543355073238E-2</v>
      </c>
      <c r="E42" s="89">
        <f t="shared" si="30"/>
        <v>4.7897926013043948E-2</v>
      </c>
      <c r="F42" s="89">
        <f t="shared" si="30"/>
        <v>5.6055308671014652E-2</v>
      </c>
      <c r="G42" s="89">
        <f t="shared" si="30"/>
        <v>6.4221415802416332E-2</v>
      </c>
      <c r="H42" s="89">
        <f t="shared" si="30"/>
        <v>7.0000000000000007E-2</v>
      </c>
      <c r="I42" s="89">
        <f t="shared" si="30"/>
        <v>7.0000000000000007E-2</v>
      </c>
      <c r="J42" s="95">
        <f t="shared" si="30"/>
        <v>7.0000000000000007E-2</v>
      </c>
    </row>
    <row r="43" spans="1:10" hidden="1" x14ac:dyDescent="0.4">
      <c r="A43" s="163" t="s">
        <v>53</v>
      </c>
      <c r="B43" s="117">
        <f>B32*B39</f>
        <v>1.4170854271356784E-2</v>
      </c>
      <c r="C43" s="110">
        <f t="shared" ref="C43:J43" si="31">C32*C39</f>
        <v>3.1568625040094092</v>
      </c>
      <c r="D43" s="110">
        <f t="shared" si="31"/>
        <v>8.7740634021169672</v>
      </c>
      <c r="E43" s="110">
        <f t="shared" si="31"/>
        <v>17.19086282476211</v>
      </c>
      <c r="F43" s="110">
        <f t="shared" si="31"/>
        <v>28.411762536084677</v>
      </c>
      <c r="G43" s="110">
        <f t="shared" si="31"/>
        <v>42.453263658719131</v>
      </c>
      <c r="H43" s="110">
        <f t="shared" si="31"/>
        <v>59.285362985138455</v>
      </c>
      <c r="I43" s="110">
        <f t="shared" si="31"/>
        <v>78.92156260023522</v>
      </c>
      <c r="J43" s="118">
        <f t="shared" si="31"/>
        <v>101.36186250400941</v>
      </c>
    </row>
    <row r="44" spans="1:10" hidden="1" x14ac:dyDescent="0.4">
      <c r="A44" s="164" t="s">
        <v>54</v>
      </c>
      <c r="B44" s="119">
        <f>B33*(0.015*2)</f>
        <v>3.0150753768844223E-4</v>
      </c>
      <c r="C44" s="111">
        <f t="shared" ref="C44:J44" si="32">C33*(0.015*2)</f>
        <v>4.5001603763498346E-3</v>
      </c>
      <c r="D44" s="111">
        <f t="shared" si="32"/>
        <v>7.5024056452475136E-3</v>
      </c>
      <c r="E44" s="111">
        <f t="shared" si="32"/>
        <v>1.0501443387148509E-2</v>
      </c>
      <c r="F44" s="111">
        <f t="shared" si="32"/>
        <v>1.3500481129049502E-2</v>
      </c>
      <c r="G44" s="111">
        <f t="shared" si="32"/>
        <v>1.6502726397947184E-2</v>
      </c>
      <c r="H44" s="111">
        <f t="shared" si="32"/>
        <v>1.9501764139848176E-2</v>
      </c>
      <c r="I44" s="111">
        <f t="shared" si="32"/>
        <v>2.2500801881749171E-2</v>
      </c>
      <c r="J44" s="120">
        <f t="shared" si="32"/>
        <v>2.5499839623650166E-2</v>
      </c>
    </row>
    <row r="45" spans="1:10" hidden="1" x14ac:dyDescent="0.4">
      <c r="A45" s="164" t="s">
        <v>55</v>
      </c>
      <c r="B45" s="119">
        <f>IF(B46-B34&lt;0,0,B46-B34)</f>
        <v>3.0150753768844185E-4</v>
      </c>
      <c r="C45" s="111">
        <f t="shared" ref="C45:I45" si="33">IF(C46-C34&lt;0,0,C46-C34)</f>
        <v>4.5001603763498328E-3</v>
      </c>
      <c r="D45" s="111">
        <f t="shared" si="33"/>
        <v>7.5024056452475119E-3</v>
      </c>
      <c r="E45" s="111">
        <f t="shared" si="33"/>
        <v>1.0501443387148507E-2</v>
      </c>
      <c r="F45" s="111">
        <f t="shared" si="33"/>
        <v>1.3500481129049509E-2</v>
      </c>
      <c r="G45" s="111">
        <f t="shared" si="33"/>
        <v>1.6502726397947184E-2</v>
      </c>
      <c r="H45" s="111">
        <f t="shared" si="33"/>
        <v>1.9501764139848179E-2</v>
      </c>
      <c r="I45" s="111">
        <f t="shared" si="33"/>
        <v>2.2500801881749175E-2</v>
      </c>
      <c r="J45" s="120">
        <f>IF(J46-J34&lt;0,0,J46-J34)</f>
        <v>2.549983962365017E-2</v>
      </c>
    </row>
    <row r="46" spans="1:10" hidden="1" x14ac:dyDescent="0.4">
      <c r="A46" s="164" t="s">
        <v>56</v>
      </c>
      <c r="B46" s="119">
        <f>B34+B44</f>
        <v>2.0304854271356785E-2</v>
      </c>
      <c r="C46" s="111">
        <f>C34+C44</f>
        <v>3.3824516411846466E-2</v>
      </c>
      <c r="D46" s="111">
        <f t="shared" ref="D46:J46" si="34">D34+D44</f>
        <v>4.3491746177696994E-2</v>
      </c>
      <c r="E46" s="111">
        <f t="shared" si="34"/>
        <v>5.3148647706618202E-2</v>
      </c>
      <c r="F46" s="111">
        <f t="shared" si="34"/>
        <v>6.280554923553941E-2</v>
      </c>
      <c r="G46" s="111">
        <f t="shared" si="34"/>
        <v>7.2472779001389931E-2</v>
      </c>
      <c r="H46" s="111">
        <f t="shared" si="34"/>
        <v>8.2129680530311139E-2</v>
      </c>
      <c r="I46" s="111">
        <f t="shared" si="34"/>
        <v>9.1786582059232333E-2</v>
      </c>
      <c r="J46" s="120">
        <f t="shared" si="34"/>
        <v>0.10144348358815354</v>
      </c>
    </row>
    <row r="47" spans="1:10" hidden="1" x14ac:dyDescent="0.4">
      <c r="A47" s="164" t="s">
        <v>57</v>
      </c>
      <c r="B47" s="119">
        <f>IF(B46&gt;0.07,0.07,B46)</f>
        <v>2.0304854271356785E-2</v>
      </c>
      <c r="C47" s="111">
        <f t="shared" ref="C47:J47" si="35">IF(C46&gt;0.07,0.07,C46)</f>
        <v>3.3824516411846466E-2</v>
      </c>
      <c r="D47" s="111">
        <f t="shared" si="35"/>
        <v>4.3491746177696994E-2</v>
      </c>
      <c r="E47" s="111">
        <f t="shared" si="35"/>
        <v>5.3148647706618202E-2</v>
      </c>
      <c r="F47" s="111">
        <f t="shared" si="35"/>
        <v>6.280554923553941E-2</v>
      </c>
      <c r="G47" s="111">
        <f t="shared" si="35"/>
        <v>7.0000000000000007E-2</v>
      </c>
      <c r="H47" s="111">
        <f t="shared" si="35"/>
        <v>7.0000000000000007E-2</v>
      </c>
      <c r="I47" s="111">
        <f t="shared" si="35"/>
        <v>7.0000000000000007E-2</v>
      </c>
      <c r="J47" s="120">
        <f t="shared" si="35"/>
        <v>7.0000000000000007E-2</v>
      </c>
    </row>
    <row r="48" spans="1:10" hidden="1" x14ac:dyDescent="0.4">
      <c r="A48" s="165" t="s">
        <v>58</v>
      </c>
      <c r="B48" s="121">
        <f>B32*B44</f>
        <v>2.8341708542713569E-2</v>
      </c>
      <c r="C48" s="112">
        <f t="shared" ref="C48:J48" si="36">C32*C44</f>
        <v>6.3137250080188183</v>
      </c>
      <c r="D48" s="112">
        <f t="shared" si="36"/>
        <v>17.548126804233934</v>
      </c>
      <c r="E48" s="112">
        <f t="shared" si="36"/>
        <v>34.381725649524221</v>
      </c>
      <c r="F48" s="112">
        <f t="shared" si="36"/>
        <v>56.823525072169353</v>
      </c>
      <c r="G48" s="112">
        <f t="shared" si="36"/>
        <v>84.906527317438261</v>
      </c>
      <c r="H48" s="112">
        <f t="shared" si="36"/>
        <v>118.57072597027691</v>
      </c>
      <c r="I48" s="112">
        <f t="shared" si="36"/>
        <v>157.84312520047044</v>
      </c>
      <c r="J48" s="122">
        <f t="shared" si="36"/>
        <v>202.72372500801882</v>
      </c>
    </row>
    <row r="49" spans="1:10" hidden="1" x14ac:dyDescent="0.4">
      <c r="A49" s="163" t="s">
        <v>59</v>
      </c>
      <c r="B49" s="123">
        <f t="shared" ref="B49:J49" si="37">B38+B43</f>
        <v>1.894485447236181</v>
      </c>
      <c r="C49" s="90">
        <f t="shared" si="37"/>
        <v>44.298934021811185</v>
      </c>
      <c r="D49" s="90">
        <f t="shared" si="37"/>
        <v>92.953130907516311</v>
      </c>
      <c r="E49" s="90">
        <f t="shared" si="37"/>
        <v>156.81780976670589</v>
      </c>
      <c r="F49" s="90">
        <f t="shared" si="37"/>
        <v>235.93679419630067</v>
      </c>
      <c r="G49" s="90">
        <f t="shared" si="37"/>
        <v>330.41918430343208</v>
      </c>
      <c r="H49" s="90">
        <f t="shared" si="37"/>
        <v>440.06309463915329</v>
      </c>
      <c r="I49" s="90">
        <f t="shared" si="37"/>
        <v>564.96131054527962</v>
      </c>
      <c r="J49" s="124">
        <f t="shared" si="37"/>
        <v>657.86186250400942</v>
      </c>
    </row>
    <row r="50" spans="1:10" hidden="1" x14ac:dyDescent="0.4">
      <c r="A50" s="163" t="s">
        <v>60</v>
      </c>
      <c r="B50" s="123">
        <f t="shared" ref="B50:J50" si="38">IF(B49&gt;B36,B36,B49)</f>
        <v>1.894485447236181</v>
      </c>
      <c r="C50" s="90">
        <f t="shared" si="38"/>
        <v>44.298934021811185</v>
      </c>
      <c r="D50" s="90">
        <f t="shared" si="38"/>
        <v>92.953130907516311</v>
      </c>
      <c r="E50" s="90">
        <f t="shared" si="38"/>
        <v>156.81780976670589</v>
      </c>
      <c r="F50" s="90">
        <f t="shared" si="38"/>
        <v>235.93679419630067</v>
      </c>
      <c r="G50" s="90">
        <f t="shared" si="38"/>
        <v>330.41918430343208</v>
      </c>
      <c r="H50" s="90">
        <f t="shared" si="38"/>
        <v>425.6</v>
      </c>
      <c r="I50" s="90">
        <f t="shared" si="38"/>
        <v>491.05000000000007</v>
      </c>
      <c r="J50" s="124">
        <f t="shared" si="38"/>
        <v>556.5</v>
      </c>
    </row>
    <row r="51" spans="1:10" hidden="1" x14ac:dyDescent="0.4">
      <c r="A51" s="163" t="s">
        <v>61</v>
      </c>
      <c r="B51" s="123">
        <f t="shared" ref="B51:J51" si="39">B38+B43+B48</f>
        <v>1.9228271557788945</v>
      </c>
      <c r="C51" s="90">
        <f t="shared" si="39"/>
        <v>50.612659029830006</v>
      </c>
      <c r="D51" s="90">
        <f t="shared" si="39"/>
        <v>110.50125771175024</v>
      </c>
      <c r="E51" s="90">
        <f t="shared" si="39"/>
        <v>191.19953541623011</v>
      </c>
      <c r="F51" s="90">
        <f t="shared" si="39"/>
        <v>292.76031926847003</v>
      </c>
      <c r="G51" s="90">
        <f t="shared" si="39"/>
        <v>415.32571162087032</v>
      </c>
      <c r="H51" s="90">
        <f t="shared" si="39"/>
        <v>558.63382060943024</v>
      </c>
      <c r="I51" s="90">
        <f t="shared" si="39"/>
        <v>722.80443574575008</v>
      </c>
      <c r="J51" s="124">
        <f t="shared" si="39"/>
        <v>860.58558751202827</v>
      </c>
    </row>
    <row r="52" spans="1:10" hidden="1" x14ac:dyDescent="0.4">
      <c r="A52" s="163" t="s">
        <v>62</v>
      </c>
      <c r="B52" s="123">
        <f t="shared" ref="B52:J52" si="40">IF(B51&gt;B36,B36,B51)</f>
        <v>1.9228271557788945</v>
      </c>
      <c r="C52" s="90">
        <f t="shared" si="40"/>
        <v>50.612659029830006</v>
      </c>
      <c r="D52" s="90">
        <f t="shared" si="40"/>
        <v>110.50125771175024</v>
      </c>
      <c r="E52" s="90">
        <f t="shared" si="40"/>
        <v>191.19953541623011</v>
      </c>
      <c r="F52" s="90">
        <f t="shared" si="40"/>
        <v>292.76031926847003</v>
      </c>
      <c r="G52" s="90">
        <f t="shared" si="40"/>
        <v>360.15000000000003</v>
      </c>
      <c r="H52" s="90">
        <f t="shared" si="40"/>
        <v>425.6</v>
      </c>
      <c r="I52" s="90">
        <f t="shared" si="40"/>
        <v>491.05000000000007</v>
      </c>
      <c r="J52" s="124">
        <f t="shared" si="40"/>
        <v>556.5</v>
      </c>
    </row>
    <row r="53" spans="1:10" x14ac:dyDescent="0.4">
      <c r="A53" s="155" t="s">
        <v>23</v>
      </c>
      <c r="B53" s="140">
        <f>ROUND(B38,0)</f>
        <v>2</v>
      </c>
      <c r="C53" s="141">
        <f>ROUND(C38,0)</f>
        <v>41</v>
      </c>
      <c r="D53" s="141">
        <f t="shared" ref="D53:J53" si="41">ROUND(D38,0)</f>
        <v>84</v>
      </c>
      <c r="E53" s="141">
        <f t="shared" si="41"/>
        <v>140</v>
      </c>
      <c r="F53" s="141">
        <f t="shared" si="41"/>
        <v>208</v>
      </c>
      <c r="G53" s="141">
        <f t="shared" si="41"/>
        <v>288</v>
      </c>
      <c r="H53" s="141">
        <f t="shared" si="41"/>
        <v>381</v>
      </c>
      <c r="I53" s="141">
        <f t="shared" si="41"/>
        <v>486</v>
      </c>
      <c r="J53" s="142">
        <f t="shared" si="41"/>
        <v>557</v>
      </c>
    </row>
    <row r="54" spans="1:10" x14ac:dyDescent="0.4">
      <c r="A54" s="155" t="s">
        <v>38</v>
      </c>
      <c r="B54" s="140">
        <f>ROUND((B53/22)*5,0)</f>
        <v>0</v>
      </c>
      <c r="C54" s="141">
        <f>ROUND((C53/22)*5,0)</f>
        <v>9</v>
      </c>
      <c r="D54" s="141">
        <f t="shared" ref="D54:J54" si="42">ROUND((D53/22)*5,0)</f>
        <v>19</v>
      </c>
      <c r="E54" s="141">
        <f t="shared" si="42"/>
        <v>32</v>
      </c>
      <c r="F54" s="141">
        <f t="shared" si="42"/>
        <v>47</v>
      </c>
      <c r="G54" s="141">
        <f t="shared" si="42"/>
        <v>65</v>
      </c>
      <c r="H54" s="141">
        <f t="shared" si="42"/>
        <v>87</v>
      </c>
      <c r="I54" s="141">
        <f t="shared" si="42"/>
        <v>110</v>
      </c>
      <c r="J54" s="142">
        <f t="shared" si="42"/>
        <v>127</v>
      </c>
    </row>
    <row r="55" spans="1:10" x14ac:dyDescent="0.4">
      <c r="A55" s="155" t="s">
        <v>26</v>
      </c>
      <c r="B55" s="140">
        <f>ROUND(B32*B42,0)</f>
        <v>2</v>
      </c>
      <c r="C55" s="141">
        <f t="shared" ref="C55:J55" si="43">ROUND(C32*C42,0)</f>
        <v>44</v>
      </c>
      <c r="D55" s="141">
        <f t="shared" si="43"/>
        <v>93</v>
      </c>
      <c r="E55" s="141">
        <f t="shared" si="43"/>
        <v>157</v>
      </c>
      <c r="F55" s="141">
        <f t="shared" si="43"/>
        <v>236</v>
      </c>
      <c r="G55" s="141">
        <f t="shared" si="43"/>
        <v>330</v>
      </c>
      <c r="H55" s="141">
        <f t="shared" si="43"/>
        <v>426</v>
      </c>
      <c r="I55" s="141">
        <f t="shared" si="43"/>
        <v>491</v>
      </c>
      <c r="J55" s="142">
        <f t="shared" si="43"/>
        <v>557</v>
      </c>
    </row>
    <row r="56" spans="1:10" x14ac:dyDescent="0.4">
      <c r="A56" s="155" t="s">
        <v>49</v>
      </c>
      <c r="B56" s="140">
        <f>ROUND((B55/22)*5,0)</f>
        <v>0</v>
      </c>
      <c r="C56" s="141">
        <f t="shared" ref="C56:J56" si="44">ROUND((C55/22)*5,0)</f>
        <v>10</v>
      </c>
      <c r="D56" s="141">
        <f t="shared" si="44"/>
        <v>21</v>
      </c>
      <c r="E56" s="141">
        <f t="shared" si="44"/>
        <v>36</v>
      </c>
      <c r="F56" s="141">
        <f t="shared" si="44"/>
        <v>54</v>
      </c>
      <c r="G56" s="141">
        <f t="shared" si="44"/>
        <v>75</v>
      </c>
      <c r="H56" s="141">
        <f t="shared" si="44"/>
        <v>97</v>
      </c>
      <c r="I56" s="141">
        <f t="shared" si="44"/>
        <v>112</v>
      </c>
      <c r="J56" s="142">
        <f t="shared" si="44"/>
        <v>127</v>
      </c>
    </row>
    <row r="57" spans="1:10" x14ac:dyDescent="0.4">
      <c r="A57" s="155" t="s">
        <v>28</v>
      </c>
      <c r="B57" s="140">
        <f>ROUND(B32*B47,0)</f>
        <v>2</v>
      </c>
      <c r="C57" s="141">
        <f>ROUND(C32*C47,0)</f>
        <v>47</v>
      </c>
      <c r="D57" s="141">
        <f t="shared" ref="D57:J57" si="45">ROUND(D32*D47,0)</f>
        <v>102</v>
      </c>
      <c r="E57" s="141">
        <f t="shared" si="45"/>
        <v>174</v>
      </c>
      <c r="F57" s="141">
        <f t="shared" si="45"/>
        <v>264</v>
      </c>
      <c r="G57" s="141">
        <f t="shared" si="45"/>
        <v>360</v>
      </c>
      <c r="H57" s="141">
        <f t="shared" si="45"/>
        <v>426</v>
      </c>
      <c r="I57" s="141">
        <f t="shared" si="45"/>
        <v>491</v>
      </c>
      <c r="J57" s="142">
        <f t="shared" si="45"/>
        <v>557</v>
      </c>
    </row>
    <row r="58" spans="1:10" ht="15" thickBot="1" x14ac:dyDescent="0.45">
      <c r="A58" s="155" t="s">
        <v>63</v>
      </c>
      <c r="B58" s="143">
        <f>ROUND((B57/22)*5,0)</f>
        <v>0</v>
      </c>
      <c r="C58" s="144">
        <f t="shared" ref="C58:J58" si="46">ROUND((C57/22)*5,0)</f>
        <v>11</v>
      </c>
      <c r="D58" s="144">
        <f t="shared" si="46"/>
        <v>23</v>
      </c>
      <c r="E58" s="144">
        <f t="shared" si="46"/>
        <v>40</v>
      </c>
      <c r="F58" s="144">
        <f t="shared" si="46"/>
        <v>60</v>
      </c>
      <c r="G58" s="144">
        <f t="shared" si="46"/>
        <v>82</v>
      </c>
      <c r="H58" s="144">
        <f t="shared" si="46"/>
        <v>97</v>
      </c>
      <c r="I58" s="144">
        <f t="shared" si="46"/>
        <v>112</v>
      </c>
      <c r="J58" s="145">
        <f t="shared" si="46"/>
        <v>127</v>
      </c>
    </row>
    <row r="59" spans="1:10" ht="15" thickBot="1" x14ac:dyDescent="0.45">
      <c r="A59" s="149" t="s">
        <v>64</v>
      </c>
      <c r="B59" s="150"/>
      <c r="C59" s="151"/>
      <c r="D59" s="152"/>
      <c r="E59" s="152"/>
      <c r="F59" s="152"/>
      <c r="G59" s="152"/>
      <c r="H59" s="152"/>
      <c r="I59" s="152"/>
      <c r="J59" s="153"/>
    </row>
    <row r="60" spans="1:10" x14ac:dyDescent="0.4">
      <c r="A60" s="162" t="s">
        <v>22</v>
      </c>
      <c r="B60" s="146">
        <f>ROUNDUP(SMI!$B6*B$2,0)</f>
        <v>109</v>
      </c>
      <c r="C60" s="147">
        <f>ROUNDUP(SMI!$B6*C$2,0)</f>
        <v>1628</v>
      </c>
      <c r="D60" s="147">
        <f>ROUNDUP(SMI!$B6*D$2,0)</f>
        <v>2713</v>
      </c>
      <c r="E60" s="147">
        <f>ROUNDUP(SMI!$B6*E$2,0)</f>
        <v>3798</v>
      </c>
      <c r="F60" s="147">
        <f>ROUNDUP(SMI!$B6*F$2,0)</f>
        <v>4883</v>
      </c>
      <c r="G60" s="147">
        <f>ROUNDUP(SMI!$B6*G$2,0)</f>
        <v>5968</v>
      </c>
      <c r="H60" s="147">
        <f>ROUNDUP(SMI!$B6*H$2,0)</f>
        <v>7053</v>
      </c>
      <c r="I60" s="147">
        <f>ROUNDUP(SMI!$B6*I$2,0)</f>
        <v>8138</v>
      </c>
      <c r="J60" s="148">
        <f>ROUND(SMI!$B6*J$2,0)</f>
        <v>9223</v>
      </c>
    </row>
    <row r="61" spans="1:10" hidden="1" x14ac:dyDescent="0.4">
      <c r="A61" s="67" t="s">
        <v>65</v>
      </c>
      <c r="B61" s="62">
        <f>B60/SMI!$B$6</f>
        <v>1.0046082949308756E-2</v>
      </c>
      <c r="C61" s="58">
        <f>C60/SMI!$B$6</f>
        <v>0.15004608294930877</v>
      </c>
      <c r="D61" s="58">
        <f>D60/SMI!$B$6</f>
        <v>0.25004608294930875</v>
      </c>
      <c r="E61" s="58">
        <f>E60/SMI!$B$6</f>
        <v>0.35004608294930878</v>
      </c>
      <c r="F61" s="58">
        <f>F60/SMI!$B$6</f>
        <v>0.45004608294930876</v>
      </c>
      <c r="G61" s="58">
        <f>G60/SMI!$B$6</f>
        <v>0.55004608294930879</v>
      </c>
      <c r="H61" s="58">
        <f>H60/SMI!$B$6</f>
        <v>0.65004608294930877</v>
      </c>
      <c r="I61" s="58">
        <f>I60/SMI!$B$6</f>
        <v>0.75004608294930875</v>
      </c>
      <c r="J61" s="63">
        <f>J60/SMI!$B$6</f>
        <v>0.85004608294930872</v>
      </c>
    </row>
    <row r="62" spans="1:10" hidden="1" x14ac:dyDescent="0.4">
      <c r="A62" s="67" t="s">
        <v>51</v>
      </c>
      <c r="B62" s="62">
        <f>IF(B61&lt;0.01,0,(((B61*100)-1)*0.000666)+0.02)</f>
        <v>2.0003069124423963E-2</v>
      </c>
      <c r="C62" s="58">
        <f>IF(C61&lt;0.01,0,(((C61*100)-1)*0.000666)+0.02)</f>
        <v>2.9327069124423965E-2</v>
      </c>
      <c r="D62" s="58">
        <f t="shared" ref="D62:J62" si="47">IF(D61&lt;0.01,0,(((D61*100)-1)*0.000666)+0.02)</f>
        <v>3.5987069124423968E-2</v>
      </c>
      <c r="E62" s="58">
        <f t="shared" si="47"/>
        <v>4.2647069124423967E-2</v>
      </c>
      <c r="F62" s="58">
        <f t="shared" si="47"/>
        <v>4.9307069124423966E-2</v>
      </c>
      <c r="G62" s="58">
        <f t="shared" si="47"/>
        <v>5.5967069124423965E-2</v>
      </c>
      <c r="H62" s="58">
        <f t="shared" si="47"/>
        <v>6.2627069124423965E-2</v>
      </c>
      <c r="I62" s="58">
        <f t="shared" si="47"/>
        <v>6.9287069124423964E-2</v>
      </c>
      <c r="J62" s="63">
        <f t="shared" si="47"/>
        <v>7.5947069124423963E-2</v>
      </c>
    </row>
    <row r="63" spans="1:10" hidden="1" x14ac:dyDescent="0.4">
      <c r="A63" s="67" t="s">
        <v>41</v>
      </c>
      <c r="B63" s="62">
        <f t="shared" ref="B63:J63" si="48">IF(B62&gt;0.07,0.07,B45)</f>
        <v>3.0150753768844185E-4</v>
      </c>
      <c r="C63" s="58">
        <f t="shared" si="48"/>
        <v>4.5001603763498328E-3</v>
      </c>
      <c r="D63" s="58">
        <f t="shared" si="48"/>
        <v>7.5024056452475119E-3</v>
      </c>
      <c r="E63" s="58">
        <f t="shared" si="48"/>
        <v>1.0501443387148507E-2</v>
      </c>
      <c r="F63" s="58">
        <f t="shared" si="48"/>
        <v>1.3500481129049509E-2</v>
      </c>
      <c r="G63" s="58">
        <f t="shared" si="48"/>
        <v>1.6502726397947184E-2</v>
      </c>
      <c r="H63" s="58">
        <f t="shared" si="48"/>
        <v>1.9501764139848179E-2</v>
      </c>
      <c r="I63" s="58">
        <f t="shared" si="48"/>
        <v>2.2500801881749175E-2</v>
      </c>
      <c r="J63" s="63">
        <f t="shared" si="48"/>
        <v>7.0000000000000007E-2</v>
      </c>
    </row>
    <row r="64" spans="1:10" hidden="1" x14ac:dyDescent="0.4">
      <c r="A64" s="80" t="s">
        <v>41</v>
      </c>
      <c r="B64" s="64">
        <f>B60*0.07</f>
        <v>7.6300000000000008</v>
      </c>
      <c r="C64" s="43">
        <f>C60*0.07</f>
        <v>113.96000000000001</v>
      </c>
      <c r="D64" s="43">
        <f t="shared" ref="D64:J64" si="49">D60*0.07</f>
        <v>189.91000000000003</v>
      </c>
      <c r="E64" s="43">
        <f t="shared" si="49"/>
        <v>265.86</v>
      </c>
      <c r="F64" s="43">
        <f t="shared" si="49"/>
        <v>341.81000000000006</v>
      </c>
      <c r="G64" s="43">
        <f t="shared" si="49"/>
        <v>417.76000000000005</v>
      </c>
      <c r="H64" s="43">
        <f t="shared" si="49"/>
        <v>493.71000000000004</v>
      </c>
      <c r="I64" s="43">
        <f t="shared" si="49"/>
        <v>569.66000000000008</v>
      </c>
      <c r="J64" s="65">
        <f t="shared" si="49"/>
        <v>645.61</v>
      </c>
    </row>
    <row r="65" spans="1:10" hidden="1" x14ac:dyDescent="0.4">
      <c r="A65" s="80" t="s">
        <v>42</v>
      </c>
      <c r="B65" s="64">
        <f>B62*B60</f>
        <v>2.180334534562212</v>
      </c>
      <c r="C65" s="43">
        <f>C62*C60</f>
        <v>47.744468534562216</v>
      </c>
      <c r="D65" s="43">
        <f t="shared" ref="D65:J65" si="50">D62*D60</f>
        <v>97.632918534562222</v>
      </c>
      <c r="E65" s="43">
        <f t="shared" si="50"/>
        <v>161.97356853456222</v>
      </c>
      <c r="F65" s="43">
        <f t="shared" si="50"/>
        <v>240.76641853456223</v>
      </c>
      <c r="G65" s="43">
        <f t="shared" si="50"/>
        <v>334.0114685345622</v>
      </c>
      <c r="H65" s="43">
        <f t="shared" si="50"/>
        <v>441.70871853456219</v>
      </c>
      <c r="I65" s="43">
        <f t="shared" si="50"/>
        <v>563.8581685345622</v>
      </c>
      <c r="J65" s="65">
        <f t="shared" si="50"/>
        <v>700.45981853456226</v>
      </c>
    </row>
    <row r="66" spans="1:10" hidden="1" x14ac:dyDescent="0.4">
      <c r="A66" s="80" t="s">
        <v>43</v>
      </c>
      <c r="B66" s="64">
        <f>IF(B65&gt;B64,B64,B65)</f>
        <v>2.180334534562212</v>
      </c>
      <c r="C66" s="43">
        <f t="shared" ref="C66:J66" si="51">IF(C65&gt;C64,C64,C65)</f>
        <v>47.744468534562216</v>
      </c>
      <c r="D66" s="43">
        <f t="shared" si="51"/>
        <v>97.632918534562222</v>
      </c>
      <c r="E66" s="43">
        <f t="shared" si="51"/>
        <v>161.97356853456222</v>
      </c>
      <c r="F66" s="43">
        <f t="shared" si="51"/>
        <v>240.76641853456223</v>
      </c>
      <c r="G66" s="43">
        <f t="shared" si="51"/>
        <v>334.0114685345622</v>
      </c>
      <c r="H66" s="43">
        <f t="shared" si="51"/>
        <v>441.70871853456219</v>
      </c>
      <c r="I66" s="43">
        <f t="shared" si="51"/>
        <v>563.8581685345622</v>
      </c>
      <c r="J66" s="65">
        <f t="shared" si="51"/>
        <v>645.61</v>
      </c>
    </row>
    <row r="67" spans="1:10" hidden="1" x14ac:dyDescent="0.4">
      <c r="A67" s="94" t="s">
        <v>52</v>
      </c>
      <c r="B67" s="115">
        <f>B61*0.015</f>
        <v>1.5069124423963134E-4</v>
      </c>
      <c r="C67" s="88">
        <f>C61*0.015</f>
        <v>2.2506912442396315E-3</v>
      </c>
      <c r="D67" s="88">
        <f>D61*0.015</f>
        <v>3.7506912442396311E-3</v>
      </c>
      <c r="E67" s="88">
        <f t="shared" ref="E67:I67" si="52">E61*0.015</f>
        <v>5.2506912442396312E-3</v>
      </c>
      <c r="F67" s="88">
        <f t="shared" si="52"/>
        <v>6.7506912442396308E-3</v>
      </c>
      <c r="G67" s="88">
        <f t="shared" si="52"/>
        <v>8.2506912442396312E-3</v>
      </c>
      <c r="H67" s="88">
        <f t="shared" si="52"/>
        <v>9.7506912442396308E-3</v>
      </c>
      <c r="I67" s="88">
        <f t="shared" si="52"/>
        <v>1.125069124423963E-2</v>
      </c>
      <c r="J67" s="116">
        <f>J61*0.015</f>
        <v>1.275069124423963E-2</v>
      </c>
    </row>
    <row r="68" spans="1:10" hidden="1" x14ac:dyDescent="0.4">
      <c r="A68" s="94" t="s">
        <v>45</v>
      </c>
      <c r="B68" s="115">
        <f>IF(B70-B62&lt;0,0,B70-B62)</f>
        <v>1.5069124423962993E-4</v>
      </c>
      <c r="C68" s="88">
        <f t="shared" ref="C68:J68" si="53">IF(C70-C62&lt;0,0,C70-C62)</f>
        <v>2.2506912442396311E-3</v>
      </c>
      <c r="D68" s="88">
        <f t="shared" si="53"/>
        <v>3.750691244239629E-3</v>
      </c>
      <c r="E68" s="88">
        <f t="shared" si="53"/>
        <v>5.2506912442396303E-3</v>
      </c>
      <c r="F68" s="88">
        <f t="shared" si="53"/>
        <v>6.7506912442396316E-3</v>
      </c>
      <c r="G68" s="88">
        <f t="shared" si="53"/>
        <v>8.250691244239633E-3</v>
      </c>
      <c r="H68" s="88">
        <f t="shared" si="53"/>
        <v>7.372930875576042E-3</v>
      </c>
      <c r="I68" s="88">
        <f t="shared" si="53"/>
        <v>7.1293087557604273E-4</v>
      </c>
      <c r="J68" s="116">
        <f t="shared" si="53"/>
        <v>0</v>
      </c>
    </row>
    <row r="69" spans="1:10" hidden="1" x14ac:dyDescent="0.4">
      <c r="A69" s="94" t="s">
        <v>46</v>
      </c>
      <c r="B69" s="100">
        <f>B62+B67</f>
        <v>2.0153760368663592E-2</v>
      </c>
      <c r="C69" s="89">
        <f t="shared" ref="C69:J69" si="54">C62+C67</f>
        <v>3.1577760368663596E-2</v>
      </c>
      <c r="D69" s="89">
        <f t="shared" si="54"/>
        <v>3.9737760368663597E-2</v>
      </c>
      <c r="E69" s="89">
        <f t="shared" si="54"/>
        <v>4.7897760368663597E-2</v>
      </c>
      <c r="F69" s="89">
        <f t="shared" si="54"/>
        <v>5.6057760368663598E-2</v>
      </c>
      <c r="G69" s="89">
        <f t="shared" si="54"/>
        <v>6.4217760368663598E-2</v>
      </c>
      <c r="H69" s="89">
        <f t="shared" si="54"/>
        <v>7.2377760368663599E-2</v>
      </c>
      <c r="I69" s="89">
        <f t="shared" si="54"/>
        <v>8.05377603686636E-2</v>
      </c>
      <c r="J69" s="95">
        <f t="shared" si="54"/>
        <v>8.8697760368663586E-2</v>
      </c>
    </row>
    <row r="70" spans="1:10" hidden="1" x14ac:dyDescent="0.4">
      <c r="A70" s="94" t="s">
        <v>47</v>
      </c>
      <c r="B70" s="100">
        <f t="shared" ref="B70:J70" si="55">IF(B69&gt;0.07,0.07,B69)</f>
        <v>2.0153760368663592E-2</v>
      </c>
      <c r="C70" s="89">
        <f t="shared" si="55"/>
        <v>3.1577760368663596E-2</v>
      </c>
      <c r="D70" s="89">
        <f t="shared" si="55"/>
        <v>3.9737760368663597E-2</v>
      </c>
      <c r="E70" s="89">
        <f t="shared" si="55"/>
        <v>4.7897760368663597E-2</v>
      </c>
      <c r="F70" s="89">
        <f t="shared" si="55"/>
        <v>5.6057760368663598E-2</v>
      </c>
      <c r="G70" s="89">
        <f t="shared" si="55"/>
        <v>6.4217760368663598E-2</v>
      </c>
      <c r="H70" s="89">
        <f t="shared" si="55"/>
        <v>7.0000000000000007E-2</v>
      </c>
      <c r="I70" s="89">
        <f t="shared" si="55"/>
        <v>7.0000000000000007E-2</v>
      </c>
      <c r="J70" s="95">
        <f t="shared" si="55"/>
        <v>7.0000000000000007E-2</v>
      </c>
    </row>
    <row r="71" spans="1:10" hidden="1" x14ac:dyDescent="0.4">
      <c r="A71" s="163" t="s">
        <v>53</v>
      </c>
      <c r="B71" s="117">
        <f>B60*B67</f>
        <v>1.6425345622119815E-2</v>
      </c>
      <c r="C71" s="110">
        <f t="shared" ref="C71:J71" si="56">C60*C67</f>
        <v>3.6641253456221201</v>
      </c>
      <c r="D71" s="110">
        <f t="shared" si="56"/>
        <v>10.17562534562212</v>
      </c>
      <c r="E71" s="110">
        <f t="shared" si="56"/>
        <v>19.94212534562212</v>
      </c>
      <c r="F71" s="110">
        <f t="shared" si="56"/>
        <v>32.96362534562212</v>
      </c>
      <c r="G71" s="110">
        <f t="shared" si="56"/>
        <v>49.240125345622118</v>
      </c>
      <c r="H71" s="110">
        <f t="shared" si="56"/>
        <v>68.771625345622112</v>
      </c>
      <c r="I71" s="110">
        <f t="shared" si="56"/>
        <v>91.558125345622116</v>
      </c>
      <c r="J71" s="118">
        <f t="shared" si="56"/>
        <v>117.5996253456221</v>
      </c>
    </row>
    <row r="72" spans="1:10" hidden="1" x14ac:dyDescent="0.4">
      <c r="A72" s="164" t="s">
        <v>54</v>
      </c>
      <c r="B72" s="119">
        <f>B61*(0.015*2)</f>
        <v>3.0138248847926268E-4</v>
      </c>
      <c r="C72" s="111">
        <f t="shared" ref="C72:J72" si="57">C61*(0.015*2)</f>
        <v>4.5013824884792631E-3</v>
      </c>
      <c r="D72" s="111">
        <f t="shared" si="57"/>
        <v>7.5013824884792623E-3</v>
      </c>
      <c r="E72" s="111">
        <f t="shared" si="57"/>
        <v>1.0501382488479262E-2</v>
      </c>
      <c r="F72" s="111">
        <f t="shared" si="57"/>
        <v>1.3501382488479262E-2</v>
      </c>
      <c r="G72" s="111">
        <f t="shared" si="57"/>
        <v>1.6501382488479262E-2</v>
      </c>
      <c r="H72" s="111">
        <f t="shared" si="57"/>
        <v>1.9501382488479262E-2</v>
      </c>
      <c r="I72" s="111">
        <f t="shared" si="57"/>
        <v>2.2501382488479261E-2</v>
      </c>
      <c r="J72" s="120">
        <f t="shared" si="57"/>
        <v>2.550138248847926E-2</v>
      </c>
    </row>
    <row r="73" spans="1:10" hidden="1" x14ac:dyDescent="0.4">
      <c r="A73" s="164" t="s">
        <v>55</v>
      </c>
      <c r="B73" s="119">
        <f>IF(B74-B62&lt;0,0,B74-B62)</f>
        <v>3.0138248847926333E-4</v>
      </c>
      <c r="C73" s="111">
        <f t="shared" ref="C73:I73" si="58">IF(C74-C62&lt;0,0,C74-C62)</f>
        <v>4.5013824884792657E-3</v>
      </c>
      <c r="D73" s="111">
        <f t="shared" si="58"/>
        <v>7.5013824884792649E-3</v>
      </c>
      <c r="E73" s="111">
        <f t="shared" si="58"/>
        <v>1.0501382488479261E-2</v>
      </c>
      <c r="F73" s="111">
        <f t="shared" si="58"/>
        <v>1.3501382488479263E-2</v>
      </c>
      <c r="G73" s="111">
        <f t="shared" si="58"/>
        <v>1.6501382488479266E-2</v>
      </c>
      <c r="H73" s="111">
        <f t="shared" si="58"/>
        <v>1.9501382488479255E-2</v>
      </c>
      <c r="I73" s="111">
        <f t="shared" si="58"/>
        <v>2.2501382488479257E-2</v>
      </c>
      <c r="J73" s="120">
        <f>IF(J74-J62&lt;0,0,J74-J62)</f>
        <v>2.550138248847926E-2</v>
      </c>
    </row>
    <row r="74" spans="1:10" hidden="1" x14ac:dyDescent="0.4">
      <c r="A74" s="164" t="s">
        <v>56</v>
      </c>
      <c r="B74" s="119">
        <f>B62+B72</f>
        <v>2.0304451612903226E-2</v>
      </c>
      <c r="C74" s="111">
        <f>C62+C72</f>
        <v>3.3828451612903231E-2</v>
      </c>
      <c r="D74" s="111">
        <f t="shared" ref="D74:J74" si="59">D62+D72</f>
        <v>4.3488451612903233E-2</v>
      </c>
      <c r="E74" s="111">
        <f t="shared" si="59"/>
        <v>5.3148451612903228E-2</v>
      </c>
      <c r="F74" s="111">
        <f t="shared" si="59"/>
        <v>6.2808451612903229E-2</v>
      </c>
      <c r="G74" s="111">
        <f t="shared" si="59"/>
        <v>7.2468451612903231E-2</v>
      </c>
      <c r="H74" s="111">
        <f t="shared" si="59"/>
        <v>8.2128451612903219E-2</v>
      </c>
      <c r="I74" s="111">
        <f t="shared" si="59"/>
        <v>9.1788451612903221E-2</v>
      </c>
      <c r="J74" s="120">
        <f t="shared" si="59"/>
        <v>0.10144845161290322</v>
      </c>
    </row>
    <row r="75" spans="1:10" hidden="1" x14ac:dyDescent="0.4">
      <c r="A75" s="164" t="s">
        <v>57</v>
      </c>
      <c r="B75" s="119">
        <f>IF(B74&gt;0.07,0.07,B74)</f>
        <v>2.0304451612903226E-2</v>
      </c>
      <c r="C75" s="111">
        <f t="shared" ref="C75:J75" si="60">IF(C74&gt;0.07,0.07,C74)</f>
        <v>3.3828451612903231E-2</v>
      </c>
      <c r="D75" s="111">
        <f t="shared" si="60"/>
        <v>4.3488451612903233E-2</v>
      </c>
      <c r="E75" s="111">
        <f t="shared" si="60"/>
        <v>5.3148451612903228E-2</v>
      </c>
      <c r="F75" s="111">
        <f t="shared" si="60"/>
        <v>6.2808451612903229E-2</v>
      </c>
      <c r="G75" s="111">
        <f t="shared" si="60"/>
        <v>7.0000000000000007E-2</v>
      </c>
      <c r="H75" s="111">
        <f t="shared" si="60"/>
        <v>7.0000000000000007E-2</v>
      </c>
      <c r="I75" s="111">
        <f t="shared" si="60"/>
        <v>7.0000000000000007E-2</v>
      </c>
      <c r="J75" s="120">
        <f t="shared" si="60"/>
        <v>7.0000000000000007E-2</v>
      </c>
    </row>
    <row r="76" spans="1:10" hidden="1" x14ac:dyDescent="0.4">
      <c r="A76" s="165" t="s">
        <v>58</v>
      </c>
      <c r="B76" s="121">
        <f>B60*B72</f>
        <v>3.285069124423963E-2</v>
      </c>
      <c r="C76" s="112">
        <f t="shared" ref="C76:J76" si="61">C60*C72</f>
        <v>7.3282506912442402</v>
      </c>
      <c r="D76" s="112">
        <f t="shared" si="61"/>
        <v>20.351250691244239</v>
      </c>
      <c r="E76" s="112">
        <f t="shared" si="61"/>
        <v>39.88425069124424</v>
      </c>
      <c r="F76" s="112">
        <f t="shared" si="61"/>
        <v>65.92725069124424</v>
      </c>
      <c r="G76" s="112">
        <f t="shared" si="61"/>
        <v>98.480250691244237</v>
      </c>
      <c r="H76" s="112">
        <f t="shared" si="61"/>
        <v>137.54325069124422</v>
      </c>
      <c r="I76" s="112">
        <f t="shared" si="61"/>
        <v>183.11625069124423</v>
      </c>
      <c r="J76" s="122">
        <f t="shared" si="61"/>
        <v>235.1992506912442</v>
      </c>
    </row>
    <row r="77" spans="1:10" hidden="1" x14ac:dyDescent="0.4">
      <c r="A77" s="166" t="s">
        <v>66</v>
      </c>
      <c r="B77" s="125">
        <f>B61*(0.015*3)</f>
        <v>4.5207373271889402E-4</v>
      </c>
      <c r="C77" s="113">
        <f t="shared" ref="C77:J77" si="62">C61*(0.015*3)</f>
        <v>6.7520737327188942E-3</v>
      </c>
      <c r="D77" s="113">
        <f t="shared" si="62"/>
        <v>1.1252073732718894E-2</v>
      </c>
      <c r="E77" s="113">
        <f t="shared" si="62"/>
        <v>1.5752073732718894E-2</v>
      </c>
      <c r="F77" s="113">
        <f t="shared" si="62"/>
        <v>2.0252073732718895E-2</v>
      </c>
      <c r="G77" s="113">
        <f t="shared" si="62"/>
        <v>2.4752073732718895E-2</v>
      </c>
      <c r="H77" s="113">
        <f t="shared" si="62"/>
        <v>2.9252073732718892E-2</v>
      </c>
      <c r="I77" s="113">
        <f t="shared" si="62"/>
        <v>3.3752073732718893E-2</v>
      </c>
      <c r="J77" s="126">
        <f t="shared" si="62"/>
        <v>3.825207373271889E-2</v>
      </c>
    </row>
    <row r="78" spans="1:10" hidden="1" x14ac:dyDescent="0.4">
      <c r="A78" s="166" t="s">
        <v>67</v>
      </c>
      <c r="B78" s="125">
        <f>IF(B79-B62&lt;0,0,B79-B62)</f>
        <v>4.5207373271889326E-4</v>
      </c>
      <c r="C78" s="113">
        <f t="shared" ref="C78:J78" si="63">IF(C79-C62&lt;0,0,C79-C62)</f>
        <v>6.7520737327188933E-3</v>
      </c>
      <c r="D78" s="113">
        <f t="shared" si="63"/>
        <v>1.1252073732718894E-2</v>
      </c>
      <c r="E78" s="113">
        <f t="shared" si="63"/>
        <v>1.5752073732718891E-2</v>
      </c>
      <c r="F78" s="113">
        <f t="shared" si="63"/>
        <v>2.0252073732718895E-2</v>
      </c>
      <c r="G78" s="113">
        <f t="shared" si="63"/>
        <v>2.4752073732718899E-2</v>
      </c>
      <c r="H78" s="113">
        <f t="shared" si="63"/>
        <v>2.9252073732718889E-2</v>
      </c>
      <c r="I78" s="113">
        <f t="shared" si="63"/>
        <v>3.3752073732718893E-2</v>
      </c>
      <c r="J78" s="126">
        <f t="shared" si="63"/>
        <v>3.8252073732718897E-2</v>
      </c>
    </row>
    <row r="79" spans="1:10" hidden="1" x14ac:dyDescent="0.4">
      <c r="A79" s="166" t="s">
        <v>68</v>
      </c>
      <c r="B79" s="125">
        <f>B62+B77</f>
        <v>2.0455142857142856E-2</v>
      </c>
      <c r="C79" s="113">
        <f t="shared" ref="C79:J79" si="64">C62+C77</f>
        <v>3.6079142857142858E-2</v>
      </c>
      <c r="D79" s="113">
        <f t="shared" si="64"/>
        <v>4.7239142857142861E-2</v>
      </c>
      <c r="E79" s="113">
        <f t="shared" si="64"/>
        <v>5.8399142857142858E-2</v>
      </c>
      <c r="F79" s="113">
        <f t="shared" si="64"/>
        <v>6.9559142857142861E-2</v>
      </c>
      <c r="G79" s="113">
        <f t="shared" si="64"/>
        <v>8.0719142857142864E-2</v>
      </c>
      <c r="H79" s="113">
        <f t="shared" si="64"/>
        <v>9.1879142857142854E-2</v>
      </c>
      <c r="I79" s="113">
        <f t="shared" si="64"/>
        <v>0.10303914285714286</v>
      </c>
      <c r="J79" s="126">
        <f t="shared" si="64"/>
        <v>0.11419914285714286</v>
      </c>
    </row>
    <row r="80" spans="1:10" hidden="1" x14ac:dyDescent="0.4">
      <c r="A80" s="166" t="s">
        <v>69</v>
      </c>
      <c r="B80" s="125">
        <f>IF(B79&gt;0.07,0.07,B79)</f>
        <v>2.0455142857142856E-2</v>
      </c>
      <c r="C80" s="113">
        <f t="shared" ref="C80:J80" si="65">IF(C79&gt;0.07,0.07,C79)</f>
        <v>3.6079142857142858E-2</v>
      </c>
      <c r="D80" s="113">
        <f t="shared" si="65"/>
        <v>4.7239142857142861E-2</v>
      </c>
      <c r="E80" s="113">
        <f t="shared" si="65"/>
        <v>5.8399142857142858E-2</v>
      </c>
      <c r="F80" s="113">
        <f t="shared" si="65"/>
        <v>6.9559142857142861E-2</v>
      </c>
      <c r="G80" s="113">
        <f t="shared" si="65"/>
        <v>7.0000000000000007E-2</v>
      </c>
      <c r="H80" s="113">
        <f t="shared" si="65"/>
        <v>7.0000000000000007E-2</v>
      </c>
      <c r="I80" s="113">
        <f t="shared" si="65"/>
        <v>7.0000000000000007E-2</v>
      </c>
      <c r="J80" s="126">
        <f t="shared" si="65"/>
        <v>7.0000000000000007E-2</v>
      </c>
    </row>
    <row r="81" spans="1:10" hidden="1" x14ac:dyDescent="0.4">
      <c r="A81" s="167" t="s">
        <v>70</v>
      </c>
      <c r="B81" s="127">
        <f>B60*B77</f>
        <v>4.9276036866359445E-2</v>
      </c>
      <c r="C81" s="114">
        <f t="shared" ref="C81:J81" si="66">C60*C77</f>
        <v>10.992376036866359</v>
      </c>
      <c r="D81" s="114">
        <f t="shared" si="66"/>
        <v>30.526876036866359</v>
      </c>
      <c r="E81" s="114">
        <f t="shared" si="66"/>
        <v>59.826376036866364</v>
      </c>
      <c r="F81" s="114">
        <f t="shared" si="66"/>
        <v>98.890876036866359</v>
      </c>
      <c r="G81" s="114">
        <f t="shared" si="66"/>
        <v>147.72037603686636</v>
      </c>
      <c r="H81" s="114">
        <f t="shared" si="66"/>
        <v>206.31487603686634</v>
      </c>
      <c r="I81" s="114">
        <f t="shared" si="66"/>
        <v>274.67437603686636</v>
      </c>
      <c r="J81" s="128">
        <f t="shared" si="66"/>
        <v>352.79887603686632</v>
      </c>
    </row>
    <row r="82" spans="1:10" hidden="1" x14ac:dyDescent="0.4">
      <c r="A82" s="163" t="s">
        <v>59</v>
      </c>
      <c r="B82" s="123">
        <f t="shared" ref="B82:J82" si="67">B66+B71</f>
        <v>2.1967598801843318</v>
      </c>
      <c r="C82" s="90">
        <f t="shared" si="67"/>
        <v>51.408593880184334</v>
      </c>
      <c r="D82" s="90">
        <f t="shared" si="67"/>
        <v>107.80854388018435</v>
      </c>
      <c r="E82" s="90">
        <f t="shared" si="67"/>
        <v>181.91569388018434</v>
      </c>
      <c r="F82" s="90">
        <f t="shared" si="67"/>
        <v>273.73004388018433</v>
      </c>
      <c r="G82" s="90">
        <f t="shared" si="67"/>
        <v>383.25159388018432</v>
      </c>
      <c r="H82" s="90">
        <f t="shared" si="67"/>
        <v>510.48034388018431</v>
      </c>
      <c r="I82" s="90">
        <f t="shared" si="67"/>
        <v>655.4162938801843</v>
      </c>
      <c r="J82" s="124">
        <f t="shared" si="67"/>
        <v>763.20962534562216</v>
      </c>
    </row>
    <row r="83" spans="1:10" hidden="1" x14ac:dyDescent="0.4">
      <c r="A83" s="163" t="s">
        <v>60</v>
      </c>
      <c r="B83" s="123">
        <f t="shared" ref="B83:J83" si="68">IF(B82&gt;B64,B64,B82)</f>
        <v>2.1967598801843318</v>
      </c>
      <c r="C83" s="90">
        <f t="shared" si="68"/>
        <v>51.408593880184334</v>
      </c>
      <c r="D83" s="90">
        <f t="shared" si="68"/>
        <v>107.80854388018435</v>
      </c>
      <c r="E83" s="90">
        <f t="shared" si="68"/>
        <v>181.91569388018434</v>
      </c>
      <c r="F83" s="90">
        <f t="shared" si="68"/>
        <v>273.73004388018433</v>
      </c>
      <c r="G83" s="90">
        <f t="shared" si="68"/>
        <v>383.25159388018432</v>
      </c>
      <c r="H83" s="90">
        <f t="shared" si="68"/>
        <v>493.71000000000004</v>
      </c>
      <c r="I83" s="90">
        <f t="shared" si="68"/>
        <v>569.66000000000008</v>
      </c>
      <c r="J83" s="124">
        <f t="shared" si="68"/>
        <v>645.61</v>
      </c>
    </row>
    <row r="84" spans="1:10" hidden="1" x14ac:dyDescent="0.4">
      <c r="A84" s="163" t="s">
        <v>61</v>
      </c>
      <c r="B84" s="123">
        <f t="shared" ref="B84:J84" si="69">B66+B71+B76</f>
        <v>2.2296105714285712</v>
      </c>
      <c r="C84" s="90">
        <f t="shared" si="69"/>
        <v>58.736844571428577</v>
      </c>
      <c r="D84" s="90">
        <f t="shared" si="69"/>
        <v>128.15979457142859</v>
      </c>
      <c r="E84" s="90">
        <f t="shared" si="69"/>
        <v>221.79994457142857</v>
      </c>
      <c r="F84" s="90">
        <f t="shared" si="69"/>
        <v>339.65729457142857</v>
      </c>
      <c r="G84" s="90">
        <f t="shared" si="69"/>
        <v>481.73184457142855</v>
      </c>
      <c r="H84" s="90">
        <f t="shared" si="69"/>
        <v>648.02359457142848</v>
      </c>
      <c r="I84" s="90">
        <f t="shared" si="69"/>
        <v>838.5325445714285</v>
      </c>
      <c r="J84" s="124">
        <f t="shared" si="69"/>
        <v>998.40887603686633</v>
      </c>
    </row>
    <row r="85" spans="1:10" hidden="1" x14ac:dyDescent="0.4">
      <c r="A85" s="163" t="s">
        <v>62</v>
      </c>
      <c r="B85" s="123">
        <f t="shared" ref="B85:J85" si="70">IF(B84&gt;B64,B64,B84)</f>
        <v>2.2296105714285712</v>
      </c>
      <c r="C85" s="90">
        <f t="shared" si="70"/>
        <v>58.736844571428577</v>
      </c>
      <c r="D85" s="90">
        <f t="shared" si="70"/>
        <v>128.15979457142859</v>
      </c>
      <c r="E85" s="90">
        <f t="shared" si="70"/>
        <v>221.79994457142857</v>
      </c>
      <c r="F85" s="90">
        <f t="shared" si="70"/>
        <v>339.65729457142857</v>
      </c>
      <c r="G85" s="90">
        <f t="shared" si="70"/>
        <v>417.76000000000005</v>
      </c>
      <c r="H85" s="90">
        <f t="shared" si="70"/>
        <v>493.71000000000004</v>
      </c>
      <c r="I85" s="90">
        <f t="shared" si="70"/>
        <v>569.66000000000008</v>
      </c>
      <c r="J85" s="124">
        <f t="shared" si="70"/>
        <v>645.61</v>
      </c>
    </row>
    <row r="86" spans="1:10" hidden="1" x14ac:dyDescent="0.4">
      <c r="A86" s="163" t="s">
        <v>71</v>
      </c>
      <c r="B86" s="123">
        <f>B66+B71+B76+B81</f>
        <v>2.2788866082949308</v>
      </c>
      <c r="C86" s="90">
        <f t="shared" ref="C86:J86" si="71">C66+C71+C76+C81</f>
        <v>69.729220608294938</v>
      </c>
      <c r="D86" s="90">
        <f t="shared" si="71"/>
        <v>158.68667060829495</v>
      </c>
      <c r="E86" s="90">
        <f t="shared" si="71"/>
        <v>281.62632060829492</v>
      </c>
      <c r="F86" s="90">
        <f t="shared" si="71"/>
        <v>438.54817060829492</v>
      </c>
      <c r="G86" s="90">
        <f t="shared" si="71"/>
        <v>629.45222060829497</v>
      </c>
      <c r="H86" s="90">
        <f t="shared" si="71"/>
        <v>854.33847060829476</v>
      </c>
      <c r="I86" s="90">
        <f t="shared" si="71"/>
        <v>1113.2069206082949</v>
      </c>
      <c r="J86" s="124">
        <f t="shared" si="71"/>
        <v>1351.2077520737325</v>
      </c>
    </row>
    <row r="87" spans="1:10" hidden="1" x14ac:dyDescent="0.4">
      <c r="A87" s="163" t="s">
        <v>72</v>
      </c>
      <c r="B87" s="123">
        <f>IF(B86&gt;B64,B64,B86)</f>
        <v>2.2788866082949308</v>
      </c>
      <c r="C87" s="90">
        <f t="shared" ref="C87:J87" si="72">IF(C86&gt;C64,C64,C86)</f>
        <v>69.729220608294938</v>
      </c>
      <c r="D87" s="90">
        <f t="shared" si="72"/>
        <v>158.68667060829495</v>
      </c>
      <c r="E87" s="90">
        <f t="shared" si="72"/>
        <v>265.86</v>
      </c>
      <c r="F87" s="90">
        <f t="shared" si="72"/>
        <v>341.81000000000006</v>
      </c>
      <c r="G87" s="90">
        <f t="shared" si="72"/>
        <v>417.76000000000005</v>
      </c>
      <c r="H87" s="90">
        <f t="shared" si="72"/>
        <v>493.71000000000004</v>
      </c>
      <c r="I87" s="90">
        <f t="shared" si="72"/>
        <v>569.66000000000008</v>
      </c>
      <c r="J87" s="124">
        <f t="shared" si="72"/>
        <v>645.61</v>
      </c>
    </row>
    <row r="88" spans="1:10" x14ac:dyDescent="0.4">
      <c r="A88" s="155" t="s">
        <v>23</v>
      </c>
      <c r="B88" s="140">
        <f>ROUND(B66,0)</f>
        <v>2</v>
      </c>
      <c r="C88" s="141">
        <f>ROUND(C66,0)</f>
        <v>48</v>
      </c>
      <c r="D88" s="141">
        <f t="shared" ref="D88:J88" si="73">ROUND(D66,0)</f>
        <v>98</v>
      </c>
      <c r="E88" s="141">
        <f t="shared" si="73"/>
        <v>162</v>
      </c>
      <c r="F88" s="141">
        <f t="shared" si="73"/>
        <v>241</v>
      </c>
      <c r="G88" s="141">
        <f t="shared" si="73"/>
        <v>334</v>
      </c>
      <c r="H88" s="141">
        <f t="shared" si="73"/>
        <v>442</v>
      </c>
      <c r="I88" s="141">
        <f t="shared" si="73"/>
        <v>564</v>
      </c>
      <c r="J88" s="142">
        <f t="shared" si="73"/>
        <v>646</v>
      </c>
    </row>
    <row r="89" spans="1:10" x14ac:dyDescent="0.4">
      <c r="A89" s="155" t="s">
        <v>38</v>
      </c>
      <c r="B89" s="140">
        <f>ROUND((B88/22)*5,0)</f>
        <v>0</v>
      </c>
      <c r="C89" s="141">
        <f>ROUND((C88/22)*5,0)</f>
        <v>11</v>
      </c>
      <c r="D89" s="141">
        <f t="shared" ref="D89:J89" si="74">ROUND((D88/22)*5,0)</f>
        <v>22</v>
      </c>
      <c r="E89" s="141">
        <f t="shared" si="74"/>
        <v>37</v>
      </c>
      <c r="F89" s="141">
        <f t="shared" si="74"/>
        <v>55</v>
      </c>
      <c r="G89" s="141">
        <f t="shared" si="74"/>
        <v>76</v>
      </c>
      <c r="H89" s="141">
        <f t="shared" si="74"/>
        <v>100</v>
      </c>
      <c r="I89" s="141">
        <f t="shared" si="74"/>
        <v>128</v>
      </c>
      <c r="J89" s="142">
        <f t="shared" si="74"/>
        <v>147</v>
      </c>
    </row>
    <row r="90" spans="1:10" x14ac:dyDescent="0.4">
      <c r="A90" s="155" t="s">
        <v>26</v>
      </c>
      <c r="B90" s="140">
        <f>ROUND(B60*B70,0)</f>
        <v>2</v>
      </c>
      <c r="C90" s="141">
        <f t="shared" ref="C90:J90" si="75">ROUND(C60*C70,0)</f>
        <v>51</v>
      </c>
      <c r="D90" s="141">
        <f t="shared" si="75"/>
        <v>108</v>
      </c>
      <c r="E90" s="141">
        <f t="shared" si="75"/>
        <v>182</v>
      </c>
      <c r="F90" s="141">
        <f t="shared" si="75"/>
        <v>274</v>
      </c>
      <c r="G90" s="141">
        <f t="shared" si="75"/>
        <v>383</v>
      </c>
      <c r="H90" s="141">
        <f t="shared" si="75"/>
        <v>494</v>
      </c>
      <c r="I90" s="141">
        <f t="shared" si="75"/>
        <v>570</v>
      </c>
      <c r="J90" s="142">
        <f t="shared" si="75"/>
        <v>646</v>
      </c>
    </row>
    <row r="91" spans="1:10" x14ac:dyDescent="0.4">
      <c r="A91" s="155" t="s">
        <v>49</v>
      </c>
      <c r="B91" s="140">
        <f>ROUND((B90/22)*5,0)</f>
        <v>0</v>
      </c>
      <c r="C91" s="141">
        <f t="shared" ref="C91:J91" si="76">ROUND((C90/22)*5,0)</f>
        <v>12</v>
      </c>
      <c r="D91" s="141">
        <f t="shared" si="76"/>
        <v>25</v>
      </c>
      <c r="E91" s="141">
        <f t="shared" si="76"/>
        <v>41</v>
      </c>
      <c r="F91" s="141">
        <f t="shared" si="76"/>
        <v>62</v>
      </c>
      <c r="G91" s="141">
        <f t="shared" si="76"/>
        <v>87</v>
      </c>
      <c r="H91" s="141">
        <f t="shared" si="76"/>
        <v>112</v>
      </c>
      <c r="I91" s="141">
        <f t="shared" si="76"/>
        <v>130</v>
      </c>
      <c r="J91" s="142">
        <f t="shared" si="76"/>
        <v>147</v>
      </c>
    </row>
    <row r="92" spans="1:10" x14ac:dyDescent="0.4">
      <c r="A92" s="155" t="s">
        <v>28</v>
      </c>
      <c r="B92" s="140">
        <f>ROUND(B60*B75,0)</f>
        <v>2</v>
      </c>
      <c r="C92" s="141">
        <f>ROUND(C60*C75,0)</f>
        <v>55</v>
      </c>
      <c r="D92" s="141">
        <f t="shared" ref="D92:J92" si="77">ROUND(D60*D75,0)</f>
        <v>118</v>
      </c>
      <c r="E92" s="141">
        <f t="shared" si="77"/>
        <v>202</v>
      </c>
      <c r="F92" s="141">
        <f t="shared" si="77"/>
        <v>307</v>
      </c>
      <c r="G92" s="141">
        <f t="shared" si="77"/>
        <v>418</v>
      </c>
      <c r="H92" s="141">
        <f t="shared" si="77"/>
        <v>494</v>
      </c>
      <c r="I92" s="141">
        <f t="shared" si="77"/>
        <v>570</v>
      </c>
      <c r="J92" s="142">
        <f t="shared" si="77"/>
        <v>646</v>
      </c>
    </row>
    <row r="93" spans="1:10" x14ac:dyDescent="0.4">
      <c r="A93" s="155" t="s">
        <v>63</v>
      </c>
      <c r="B93" s="140">
        <f>ROUND((B92/22)*5,0)</f>
        <v>0</v>
      </c>
      <c r="C93" s="141">
        <f t="shared" ref="C93:J93" si="78">ROUND((C92/22)*5,0)</f>
        <v>13</v>
      </c>
      <c r="D93" s="141">
        <f t="shared" si="78"/>
        <v>27</v>
      </c>
      <c r="E93" s="141">
        <f t="shared" si="78"/>
        <v>46</v>
      </c>
      <c r="F93" s="141">
        <f t="shared" si="78"/>
        <v>70</v>
      </c>
      <c r="G93" s="141">
        <f t="shared" si="78"/>
        <v>95</v>
      </c>
      <c r="H93" s="141">
        <f t="shared" si="78"/>
        <v>112</v>
      </c>
      <c r="I93" s="141">
        <f t="shared" si="78"/>
        <v>130</v>
      </c>
      <c r="J93" s="142">
        <f t="shared" si="78"/>
        <v>147</v>
      </c>
    </row>
    <row r="94" spans="1:10" x14ac:dyDescent="0.4">
      <c r="A94" s="155" t="s">
        <v>73</v>
      </c>
      <c r="B94" s="140">
        <f>ROUND(B60*B80,0)</f>
        <v>2</v>
      </c>
      <c r="C94" s="141">
        <f t="shared" ref="C94:J94" si="79">ROUND(C60*C80,0)</f>
        <v>59</v>
      </c>
      <c r="D94" s="141">
        <f t="shared" si="79"/>
        <v>128</v>
      </c>
      <c r="E94" s="141">
        <f t="shared" si="79"/>
        <v>222</v>
      </c>
      <c r="F94" s="141">
        <f t="shared" si="79"/>
        <v>340</v>
      </c>
      <c r="G94" s="141">
        <f t="shared" si="79"/>
        <v>418</v>
      </c>
      <c r="H94" s="141">
        <f t="shared" si="79"/>
        <v>494</v>
      </c>
      <c r="I94" s="141">
        <f t="shared" si="79"/>
        <v>570</v>
      </c>
      <c r="J94" s="142">
        <f t="shared" si="79"/>
        <v>646</v>
      </c>
    </row>
    <row r="95" spans="1:10" ht="15" thickBot="1" x14ac:dyDescent="0.45">
      <c r="A95" s="156" t="s">
        <v>74</v>
      </c>
      <c r="B95" s="143">
        <f>ROUND((B94/22)*5,0)</f>
        <v>0</v>
      </c>
      <c r="C95" s="144">
        <f t="shared" ref="C95:J95" si="80">ROUND((C94/22)*5,0)</f>
        <v>13</v>
      </c>
      <c r="D95" s="144">
        <f t="shared" si="80"/>
        <v>29</v>
      </c>
      <c r="E95" s="144">
        <f t="shared" si="80"/>
        <v>50</v>
      </c>
      <c r="F95" s="144">
        <f t="shared" si="80"/>
        <v>77</v>
      </c>
      <c r="G95" s="144">
        <f t="shared" si="80"/>
        <v>95</v>
      </c>
      <c r="H95" s="144">
        <f t="shared" si="80"/>
        <v>112</v>
      </c>
      <c r="I95" s="144">
        <f t="shared" si="80"/>
        <v>130</v>
      </c>
      <c r="J95" s="145">
        <f t="shared" si="80"/>
        <v>147</v>
      </c>
    </row>
    <row r="96" spans="1:10" ht="6.75" customHeight="1" x14ac:dyDescent="0.4">
      <c r="A96" s="39"/>
      <c r="B96" s="39"/>
      <c r="C96" s="38"/>
      <c r="D96" s="38"/>
      <c r="E96" s="38"/>
      <c r="F96" s="38"/>
      <c r="G96" s="38"/>
      <c r="H96" s="38"/>
      <c r="I96" s="38"/>
      <c r="J96" s="38"/>
    </row>
    <row r="97" spans="1:1" x14ac:dyDescent="0.4">
      <c r="A97" t="s">
        <v>75</v>
      </c>
    </row>
  </sheetData>
  <pageMargins left="0.7" right="0.7" top="0.75" bottom="0.75" header="0.3" footer="0.3"/>
  <pageSetup scale="8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FA45-2D5A-45AE-AF21-C6F75D72BA4A}">
  <dimension ref="A1:J16"/>
  <sheetViews>
    <sheetView workbookViewId="0"/>
  </sheetViews>
  <sheetFormatPr defaultRowHeight="14.6" x14ac:dyDescent="0.4"/>
  <cols>
    <col min="1" max="1" width="11.69140625" customWidth="1"/>
    <col min="2" max="2" width="23.3046875" customWidth="1"/>
    <col min="5" max="5" width="12" bestFit="1" customWidth="1"/>
    <col min="6" max="6" width="17.69140625" customWidth="1"/>
    <col min="7" max="7" width="12.3828125" bestFit="1" customWidth="1"/>
    <col min="8" max="8" width="15.3828125" bestFit="1" customWidth="1"/>
    <col min="9" max="9" width="12.3828125" bestFit="1" customWidth="1"/>
  </cols>
  <sheetData>
    <row r="1" spans="1:10" x14ac:dyDescent="0.4">
      <c r="A1" t="s">
        <v>76</v>
      </c>
      <c r="B1" t="s">
        <v>77</v>
      </c>
      <c r="E1" t="s">
        <v>78</v>
      </c>
      <c r="F1" t="s">
        <v>79</v>
      </c>
      <c r="H1" s="129" t="s">
        <v>80</v>
      </c>
    </row>
    <row r="2" spans="1:10" x14ac:dyDescent="0.4">
      <c r="A2">
        <v>1</v>
      </c>
      <c r="B2" s="40">
        <f>F2</f>
        <v>4864</v>
      </c>
      <c r="E2" s="4">
        <f t="shared" ref="E2:E16" si="0">H2/12</f>
        <v>4863.6899999999996</v>
      </c>
      <c r="F2" s="4">
        <f>ROUND(E2,0)</f>
        <v>4864</v>
      </c>
      <c r="H2" s="130">
        <v>58364.28</v>
      </c>
      <c r="I2" s="4"/>
      <c r="J2" s="40"/>
    </row>
    <row r="3" spans="1:10" x14ac:dyDescent="0.4">
      <c r="A3">
        <v>2</v>
      </c>
      <c r="B3" s="40">
        <f t="shared" ref="B3:B16" si="1">F3</f>
        <v>6360</v>
      </c>
      <c r="E3" s="4">
        <f t="shared" si="0"/>
        <v>6360.21</v>
      </c>
      <c r="F3" s="4">
        <f t="shared" ref="F3:F16" si="2">ROUND(E3,0)</f>
        <v>6360</v>
      </c>
      <c r="H3" s="130">
        <v>76322.52</v>
      </c>
      <c r="I3" s="4"/>
      <c r="J3" s="40"/>
    </row>
    <row r="4" spans="1:10" x14ac:dyDescent="0.4">
      <c r="A4">
        <v>3</v>
      </c>
      <c r="B4" s="40">
        <f t="shared" si="1"/>
        <v>7857</v>
      </c>
      <c r="E4" s="4">
        <f t="shared" si="0"/>
        <v>7856.73</v>
      </c>
      <c r="F4" s="4">
        <f t="shared" si="2"/>
        <v>7857</v>
      </c>
      <c r="H4" s="130">
        <v>94280.76</v>
      </c>
      <c r="I4" s="4"/>
      <c r="J4" s="40"/>
    </row>
    <row r="5" spans="1:10" x14ac:dyDescent="0.4">
      <c r="A5">
        <v>4</v>
      </c>
      <c r="B5" s="40">
        <f t="shared" si="1"/>
        <v>9353</v>
      </c>
      <c r="E5" s="4">
        <f t="shared" si="0"/>
        <v>9353.25</v>
      </c>
      <c r="F5" s="4">
        <f t="shared" si="2"/>
        <v>9353</v>
      </c>
      <c r="H5" s="130">
        <v>112239</v>
      </c>
      <c r="I5" s="4"/>
      <c r="J5" s="40"/>
    </row>
    <row r="6" spans="1:10" x14ac:dyDescent="0.4">
      <c r="A6">
        <v>5</v>
      </c>
      <c r="B6" s="40">
        <f t="shared" si="1"/>
        <v>10850</v>
      </c>
      <c r="E6" s="4">
        <f t="shared" si="0"/>
        <v>10849.769999999999</v>
      </c>
      <c r="F6" s="4">
        <f t="shared" si="2"/>
        <v>10850</v>
      </c>
      <c r="H6" s="130">
        <v>130197.23999999999</v>
      </c>
      <c r="I6" s="4"/>
      <c r="J6" s="40"/>
    </row>
    <row r="7" spans="1:10" x14ac:dyDescent="0.4">
      <c r="A7">
        <v>6</v>
      </c>
      <c r="B7" s="40">
        <f t="shared" si="1"/>
        <v>12346</v>
      </c>
      <c r="E7" s="4">
        <f t="shared" si="0"/>
        <v>12346.29</v>
      </c>
      <c r="F7" s="4">
        <f t="shared" si="2"/>
        <v>12346</v>
      </c>
      <c r="H7" s="130">
        <v>148155.48000000001</v>
      </c>
      <c r="I7" s="4"/>
      <c r="J7" s="40"/>
    </row>
    <row r="8" spans="1:10" x14ac:dyDescent="0.4">
      <c r="A8">
        <v>7</v>
      </c>
      <c r="B8" s="40">
        <f t="shared" si="1"/>
        <v>12627</v>
      </c>
      <c r="E8" s="4">
        <f t="shared" si="0"/>
        <v>12626.887500000003</v>
      </c>
      <c r="F8" s="4">
        <f t="shared" si="2"/>
        <v>12627</v>
      </c>
      <c r="H8" s="130">
        <v>151522.65000000002</v>
      </c>
      <c r="I8" s="4"/>
      <c r="J8" s="40"/>
    </row>
    <row r="9" spans="1:10" x14ac:dyDescent="0.4">
      <c r="A9">
        <v>8</v>
      </c>
      <c r="B9" s="40">
        <f t="shared" si="1"/>
        <v>12907</v>
      </c>
      <c r="E9" s="4">
        <f t="shared" si="0"/>
        <v>12907.484999999999</v>
      </c>
      <c r="F9" s="4">
        <f t="shared" si="2"/>
        <v>12907</v>
      </c>
      <c r="H9" s="130">
        <v>154889.81999999998</v>
      </c>
      <c r="I9" s="4"/>
      <c r="J9" s="40"/>
    </row>
    <row r="10" spans="1:10" x14ac:dyDescent="0.4">
      <c r="A10">
        <v>9</v>
      </c>
      <c r="B10" s="40">
        <f t="shared" si="1"/>
        <v>13188</v>
      </c>
      <c r="E10" s="4">
        <f t="shared" si="0"/>
        <v>13188.082499999999</v>
      </c>
      <c r="F10" s="4">
        <f t="shared" si="2"/>
        <v>13188</v>
      </c>
      <c r="H10" s="130">
        <v>158256.99</v>
      </c>
      <c r="I10" s="4"/>
      <c r="J10" s="40"/>
    </row>
    <row r="11" spans="1:10" x14ac:dyDescent="0.4">
      <c r="A11">
        <v>10</v>
      </c>
      <c r="B11" s="40">
        <f t="shared" si="1"/>
        <v>13469</v>
      </c>
      <c r="E11" s="4">
        <f t="shared" si="0"/>
        <v>13468.68</v>
      </c>
      <c r="F11" s="4">
        <f t="shared" si="2"/>
        <v>13469</v>
      </c>
      <c r="H11" s="130">
        <v>161624.16</v>
      </c>
      <c r="I11" s="4"/>
      <c r="J11" s="40"/>
    </row>
    <row r="12" spans="1:10" x14ac:dyDescent="0.4">
      <c r="A12">
        <v>11</v>
      </c>
      <c r="B12" s="40">
        <f t="shared" si="1"/>
        <v>13749</v>
      </c>
      <c r="E12" s="4">
        <f t="shared" si="0"/>
        <v>13749.277499999998</v>
      </c>
      <c r="F12" s="4">
        <f t="shared" si="2"/>
        <v>13749</v>
      </c>
      <c r="H12" s="130">
        <v>164991.32999999999</v>
      </c>
      <c r="I12" s="4"/>
      <c r="J12" s="40"/>
    </row>
    <row r="13" spans="1:10" x14ac:dyDescent="0.4">
      <c r="A13">
        <v>12</v>
      </c>
      <c r="B13" s="40">
        <f t="shared" si="1"/>
        <v>14030</v>
      </c>
      <c r="E13" s="4">
        <f t="shared" si="0"/>
        <v>14029.875</v>
      </c>
      <c r="F13" s="4">
        <f t="shared" si="2"/>
        <v>14030</v>
      </c>
      <c r="H13" s="130">
        <v>168358.5</v>
      </c>
      <c r="I13" s="4"/>
      <c r="J13" s="40"/>
    </row>
    <row r="14" spans="1:10" x14ac:dyDescent="0.4">
      <c r="A14">
        <v>13</v>
      </c>
      <c r="B14" s="40">
        <f t="shared" si="1"/>
        <v>14310</v>
      </c>
      <c r="E14" s="4">
        <f t="shared" si="0"/>
        <v>14310.472500000002</v>
      </c>
      <c r="F14" s="4">
        <f t="shared" si="2"/>
        <v>14310</v>
      </c>
      <c r="H14" s="130">
        <v>171725.67</v>
      </c>
      <c r="I14" s="4"/>
      <c r="J14" s="40"/>
    </row>
    <row r="15" spans="1:10" x14ac:dyDescent="0.4">
      <c r="A15">
        <v>14</v>
      </c>
      <c r="B15" s="40">
        <f t="shared" si="1"/>
        <v>14591</v>
      </c>
      <c r="E15" s="4">
        <f t="shared" si="0"/>
        <v>14591.07</v>
      </c>
      <c r="F15" s="4">
        <f t="shared" si="2"/>
        <v>14591</v>
      </c>
      <c r="H15" s="130">
        <v>175092.84</v>
      </c>
      <c r="I15" s="4"/>
      <c r="J15" s="40"/>
    </row>
    <row r="16" spans="1:10" x14ac:dyDescent="0.4">
      <c r="A16">
        <v>15</v>
      </c>
      <c r="B16" s="40">
        <f t="shared" si="1"/>
        <v>14872</v>
      </c>
      <c r="E16" s="4">
        <f t="shared" si="0"/>
        <v>14871.667500000001</v>
      </c>
      <c r="F16" s="4">
        <f t="shared" si="2"/>
        <v>14872</v>
      </c>
      <c r="H16" s="130">
        <v>178460.01</v>
      </c>
      <c r="I16" s="4"/>
      <c r="J16" s="40"/>
    </row>
  </sheetData>
  <sheetProtection algorithmName="SHA-512" hashValue="B38avTFP2FUIq/Y9MqkhJIPP/IvNDISBnjx78HIyj5Kji/UkkeREIOJuIO0mw0Pus2ALlQAvxNt4VFgFOxcbmQ==" saltValue="FyLpx4XZQZv1uDVDxDspig==" spinCount="100000"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F4BA-4889-4E9C-B441-ED21B737A011}">
  <dimension ref="M2:V30"/>
  <sheetViews>
    <sheetView zoomScale="80" zoomScaleNormal="80" workbookViewId="0">
      <selection activeCell="N3" sqref="N3"/>
    </sheetView>
  </sheetViews>
  <sheetFormatPr defaultRowHeight="14.6" x14ac:dyDescent="0.4"/>
  <cols>
    <col min="13" max="13" width="22.3046875" bestFit="1" customWidth="1"/>
  </cols>
  <sheetData>
    <row r="2" spans="13:22" x14ac:dyDescent="0.4">
      <c r="M2" t="s">
        <v>21</v>
      </c>
      <c r="N2" s="52">
        <f>'PSoC Chart'!B2</f>
        <v>0.01</v>
      </c>
      <c r="O2" s="52">
        <f>'PSoC Chart'!C2</f>
        <v>0.15</v>
      </c>
      <c r="P2" s="52">
        <f>'PSoC Chart'!D2</f>
        <v>0.25</v>
      </c>
      <c r="Q2" s="52">
        <f>'PSoC Chart'!E2</f>
        <v>0.35</v>
      </c>
      <c r="R2" s="52">
        <f>'PSoC Chart'!F2</f>
        <v>0.45</v>
      </c>
      <c r="S2" s="52">
        <f>'PSoC Chart'!G2</f>
        <v>0.55000000000000004</v>
      </c>
      <c r="T2" s="52">
        <f>'PSoC Chart'!H2</f>
        <v>0.65</v>
      </c>
      <c r="U2" s="52">
        <f>'PSoC Chart'!I2</f>
        <v>0.75</v>
      </c>
      <c r="V2" s="52">
        <f>'PSoC Chart'!J2</f>
        <v>0.85</v>
      </c>
    </row>
    <row r="3" spans="13:22" x14ac:dyDescent="0.4">
      <c r="M3" t="s">
        <v>81</v>
      </c>
      <c r="N3" s="50">
        <f>'PSoC Chart'!B3</f>
        <v>2.0004188679245284E-2</v>
      </c>
      <c r="O3" s="50">
        <f>'PSoC Chart'!C3</f>
        <v>2.9324000000000003E-2</v>
      </c>
      <c r="P3" s="50">
        <f>'PSoC Chart'!D3</f>
        <v>3.5984000000000002E-2</v>
      </c>
      <c r="Q3" s="50">
        <f>'PSoC Chart'!E3</f>
        <v>4.2644000000000001E-2</v>
      </c>
      <c r="R3" s="50">
        <f>'PSoC Chart'!F3</f>
        <v>4.9304000000000001E-2</v>
      </c>
      <c r="S3" s="50">
        <f>'PSoC Chart'!G3</f>
        <v>5.5964000000000014E-2</v>
      </c>
      <c r="T3" s="50">
        <f>'PSoC Chart'!H3</f>
        <v>6.2623999999999999E-2</v>
      </c>
      <c r="U3" s="50">
        <f>'PSoC Chart'!I3</f>
        <v>6.9283999999999998E-2</v>
      </c>
      <c r="V3" s="50">
        <f>'PSoC Chart'!J3</f>
        <v>7.0000000000000007E-2</v>
      </c>
    </row>
    <row r="4" spans="13:22" x14ac:dyDescent="0.4">
      <c r="M4" t="s">
        <v>82</v>
      </c>
      <c r="N4" s="50">
        <f>'PSoC Chart'!B4</f>
        <v>1.508209240168E-4</v>
      </c>
      <c r="O4" s="50">
        <f>'PSoC Chart'!C4</f>
        <v>2.25085910652921E-3</v>
      </c>
      <c r="P4" s="50">
        <f>'PSoC Chart'!D4</f>
        <v>3.7514318442153499E-3</v>
      </c>
      <c r="Q4" s="50">
        <f>'PSoC Chart'!E4</f>
        <v>5.2500954562810231E-3</v>
      </c>
      <c r="R4" s="50">
        <f>'PSoC Chart'!F4</f>
        <v>6.7506681939671631E-3</v>
      </c>
      <c r="S4" s="50">
        <f>'PSoC Chart'!G4</f>
        <v>8.2512409316533031E-3</v>
      </c>
      <c r="T4" s="50">
        <f>'PSoC Chart'!H4</f>
        <v>7.36794730813288E-3</v>
      </c>
      <c r="U4" s="50">
        <f>'PSoC Chart'!I4</f>
        <v>7.1388087056128979E-4</v>
      </c>
      <c r="V4" s="50">
        <f>'PSoC Chart'!J4</f>
        <v>0</v>
      </c>
    </row>
    <row r="7" spans="13:22" x14ac:dyDescent="0.4">
      <c r="N7" s="55"/>
      <c r="O7" s="55"/>
      <c r="P7" s="55"/>
      <c r="Q7" s="55"/>
      <c r="R7" s="55"/>
      <c r="S7" s="55"/>
      <c r="T7" s="55"/>
      <c r="U7" s="55"/>
      <c r="V7" s="55"/>
    </row>
    <row r="8" spans="13:22" x14ac:dyDescent="0.4">
      <c r="N8" s="55"/>
      <c r="O8" s="55"/>
      <c r="P8" s="55"/>
      <c r="Q8" s="55"/>
      <c r="R8" s="55"/>
      <c r="S8" s="55"/>
      <c r="T8" s="55"/>
      <c r="U8" s="55"/>
      <c r="V8" s="55"/>
    </row>
    <row r="26" spans="13:22" x14ac:dyDescent="0.4">
      <c r="M26" t="s">
        <v>83</v>
      </c>
      <c r="N26" s="52">
        <f>'PSoC Chart'!B2</f>
        <v>0.01</v>
      </c>
      <c r="O26" s="52">
        <f>'PSoC Chart'!C2</f>
        <v>0.15</v>
      </c>
      <c r="P26" s="52">
        <f>'PSoC Chart'!D2</f>
        <v>0.25</v>
      </c>
      <c r="Q26" s="52">
        <f>'PSoC Chart'!E2</f>
        <v>0.35</v>
      </c>
      <c r="R26" s="52">
        <f>'PSoC Chart'!F2</f>
        <v>0.45</v>
      </c>
      <c r="S26" s="52">
        <f>'PSoC Chart'!G2</f>
        <v>0.55000000000000004</v>
      </c>
      <c r="T26" s="52">
        <f>'PSoC Chart'!H2</f>
        <v>0.65</v>
      </c>
      <c r="U26" s="52">
        <f>'PSoC Chart'!I2</f>
        <v>0.75</v>
      </c>
      <c r="V26" s="52">
        <f>'PSoC Chart'!J2</f>
        <v>0.85</v>
      </c>
    </row>
    <row r="27" spans="13:22" x14ac:dyDescent="0.4">
      <c r="M27" t="s">
        <v>84</v>
      </c>
      <c r="N27" s="50">
        <f>'PSoC Chart'!B3</f>
        <v>2.0004188679245284E-2</v>
      </c>
      <c r="O27" s="50">
        <f>'PSoC Chart'!C3</f>
        <v>2.9324000000000003E-2</v>
      </c>
      <c r="P27" s="50">
        <f>'PSoC Chart'!D3</f>
        <v>3.5984000000000002E-2</v>
      </c>
      <c r="Q27" s="50">
        <f>'PSoC Chart'!E3</f>
        <v>4.2644000000000001E-2</v>
      </c>
      <c r="R27" s="50">
        <f>'PSoC Chart'!F3</f>
        <v>4.9304000000000001E-2</v>
      </c>
      <c r="S27" s="50">
        <f>'PSoC Chart'!G3</f>
        <v>5.5964000000000014E-2</v>
      </c>
      <c r="T27" s="50">
        <f>'PSoC Chart'!H3</f>
        <v>6.2623999999999999E-2</v>
      </c>
      <c r="U27" s="50">
        <f>'PSoC Chart'!I3</f>
        <v>6.9283999999999998E-2</v>
      </c>
      <c r="V27" s="50">
        <f>'PSoC Chart'!J3</f>
        <v>7.0000000000000007E-2</v>
      </c>
    </row>
    <row r="28" spans="13:22" x14ac:dyDescent="0.4">
      <c r="M28" t="s">
        <v>85</v>
      </c>
      <c r="N28" s="56">
        <f>'PSoC Chart'!B25</f>
        <v>2.0154465826651393E-2</v>
      </c>
      <c r="O28" s="56">
        <f>'PSoC Chart'!C25</f>
        <v>3.1578673539518903E-2</v>
      </c>
      <c r="P28" s="56">
        <f>'PSoC Chart'!D25</f>
        <v>3.9741789232531508E-2</v>
      </c>
      <c r="Q28" s="56">
        <f>'PSoC Chart'!E25</f>
        <v>4.7894519282168771E-2</v>
      </c>
      <c r="R28" s="56">
        <f>'PSoC Chart'!F25</f>
        <v>5.6057634975181368E-2</v>
      </c>
      <c r="S28" s="56">
        <f>'PSoC Chart'!G25</f>
        <v>6.4220750668193965E-2</v>
      </c>
      <c r="T28" s="56">
        <f>'PSoC Chart'!H25</f>
        <v>7.0000000000000007E-2</v>
      </c>
      <c r="U28" s="56">
        <f>'PSoC Chart'!I25</f>
        <v>7.0000000000000007E-2</v>
      </c>
      <c r="V28" s="56">
        <f>'PSoC Chart'!J25</f>
        <v>7.0000000000000007E-2</v>
      </c>
    </row>
    <row r="29" spans="13:22" x14ac:dyDescent="0.4">
      <c r="M29" t="s">
        <v>86</v>
      </c>
      <c r="N29" s="56">
        <f>'PSoC Chart'!B47</f>
        <v>2.0304854271356785E-2</v>
      </c>
      <c r="O29" s="56">
        <f>'PSoC Chart'!C47</f>
        <v>3.3824516411846466E-2</v>
      </c>
      <c r="P29" s="56">
        <f>'PSoC Chart'!D47</f>
        <v>4.3491746177696994E-2</v>
      </c>
      <c r="Q29" s="56">
        <f>'PSoC Chart'!E47</f>
        <v>5.3148647706618202E-2</v>
      </c>
      <c r="R29" s="56">
        <f>'PSoC Chart'!F47</f>
        <v>6.280554923553941E-2</v>
      </c>
      <c r="S29" s="56">
        <f>'PSoC Chart'!G47</f>
        <v>7.0000000000000007E-2</v>
      </c>
      <c r="T29" s="56">
        <f>'PSoC Chart'!H47</f>
        <v>7.0000000000000007E-2</v>
      </c>
      <c r="U29" s="56">
        <f>'PSoC Chart'!I47</f>
        <v>7.0000000000000007E-2</v>
      </c>
      <c r="V29" s="56">
        <f>'PSoC Chart'!J47</f>
        <v>7.0000000000000007E-2</v>
      </c>
    </row>
    <row r="30" spans="13:22" x14ac:dyDescent="0.4">
      <c r="M30" t="s">
        <v>87</v>
      </c>
      <c r="N30" s="56">
        <f>'PSoC Chart'!B80</f>
        <v>2.0455142857142856E-2</v>
      </c>
      <c r="O30" s="56">
        <f>'PSoC Chart'!C80</f>
        <v>3.6079142857142858E-2</v>
      </c>
      <c r="P30" s="56">
        <f>'PSoC Chart'!D80</f>
        <v>4.7239142857142861E-2</v>
      </c>
      <c r="Q30" s="56">
        <f>'PSoC Chart'!E80</f>
        <v>5.8399142857142858E-2</v>
      </c>
      <c r="R30" s="56">
        <f>'PSoC Chart'!F80</f>
        <v>6.9559142857142861E-2</v>
      </c>
      <c r="S30" s="56">
        <f>'PSoC Chart'!G80</f>
        <v>7.0000000000000007E-2</v>
      </c>
      <c r="T30" s="56">
        <f>'PSoC Chart'!H80</f>
        <v>7.0000000000000007E-2</v>
      </c>
      <c r="U30" s="56">
        <f>'PSoC Chart'!I80</f>
        <v>7.0000000000000007E-2</v>
      </c>
      <c r="V30" s="56">
        <f>'PSoC Chart'!J80</f>
        <v>7.0000000000000007E-2</v>
      </c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5277-49EA-476E-8396-D990C8D14E20}">
  <dimension ref="A1:O31"/>
  <sheetViews>
    <sheetView workbookViewId="0">
      <selection activeCell="G20" sqref="G19:G20"/>
    </sheetView>
  </sheetViews>
  <sheetFormatPr defaultColWidth="8.84375" defaultRowHeight="14.6" x14ac:dyDescent="0.4"/>
  <cols>
    <col min="1" max="1" width="20.3046875" bestFit="1" customWidth="1"/>
    <col min="2" max="2" width="13.3046875" customWidth="1"/>
    <col min="3" max="3" width="4.69140625" customWidth="1"/>
    <col min="4" max="4" width="9.3828125" customWidth="1"/>
    <col min="5" max="6" width="8.84375" customWidth="1"/>
    <col min="7" max="7" width="14.15234375" bestFit="1" customWidth="1"/>
  </cols>
  <sheetData>
    <row r="1" spans="1:15" x14ac:dyDescent="0.4">
      <c r="A1" s="1" t="s">
        <v>88</v>
      </c>
      <c r="D1" t="s">
        <v>89</v>
      </c>
      <c r="G1" t="s">
        <v>90</v>
      </c>
    </row>
    <row r="2" spans="1:15" x14ac:dyDescent="0.4">
      <c r="A2" t="s">
        <v>91</v>
      </c>
      <c r="B2">
        <f>'FFY27 PSoC Calculator'!B2</f>
        <v>0</v>
      </c>
      <c r="G2" t="s">
        <v>92</v>
      </c>
    </row>
    <row r="3" spans="1:15" x14ac:dyDescent="0.4">
      <c r="A3" t="s">
        <v>93</v>
      </c>
      <c r="B3">
        <f>ROUND('FFY27 PSoC Calculator'!B3,0)</f>
        <v>0</v>
      </c>
      <c r="G3" t="s">
        <v>94</v>
      </c>
    </row>
    <row r="4" spans="1:15" x14ac:dyDescent="0.4">
      <c r="A4" t="s">
        <v>95</v>
      </c>
      <c r="B4">
        <f>'FFY27 PSoC Calculator'!B4</f>
        <v>0</v>
      </c>
      <c r="C4" s="7" t="str">
        <f>IF(OR(B2&lt;B4,B2=B4),"ERROR - Children in care must be less than the family size."," ")</f>
        <v>ERROR - Children in care must be less than the family size.</v>
      </c>
      <c r="G4" t="s">
        <v>96</v>
      </c>
    </row>
    <row r="5" spans="1:15" x14ac:dyDescent="0.4">
      <c r="A5" t="s">
        <v>21</v>
      </c>
      <c r="B5" s="34">
        <f>IFERROR(ROUNDDOWN(B3/(VLOOKUP(B2,SMI[],2,FALSE)),4),0)</f>
        <v>0</v>
      </c>
      <c r="E5" s="4"/>
      <c r="G5" s="5" t="s">
        <v>97</v>
      </c>
    </row>
    <row r="6" spans="1:15" x14ac:dyDescent="0.4">
      <c r="A6" t="s">
        <v>98</v>
      </c>
      <c r="B6" s="35" t="str">
        <f>IF(B5&gt;0.85004,"No","Yes")</f>
        <v>Yes</v>
      </c>
      <c r="G6" s="5" t="s">
        <v>99</v>
      </c>
    </row>
    <row r="7" spans="1:15" x14ac:dyDescent="0.4">
      <c r="A7" t="s">
        <v>100</v>
      </c>
      <c r="B7" s="34">
        <f>IF(B6="no","",F7)</f>
        <v>0</v>
      </c>
      <c r="D7" s="41">
        <f>IF(B5&lt;0.01,0,(((B5*100)-1)*0.000666)+0.02)</f>
        <v>0</v>
      </c>
      <c r="E7" s="41">
        <f>IF(B6="No","",D7)</f>
        <v>0</v>
      </c>
      <c r="F7" s="41">
        <f>IF(D7&gt;0.07,0.07,E7)</f>
        <v>0</v>
      </c>
      <c r="G7" s="6" t="s">
        <v>101</v>
      </c>
      <c r="H7" s="173"/>
      <c r="I7" s="173"/>
      <c r="J7" s="173"/>
      <c r="O7" s="174"/>
    </row>
    <row r="8" spans="1:15" x14ac:dyDescent="0.4">
      <c r="A8" t="s">
        <v>102</v>
      </c>
      <c r="B8" s="37">
        <f>IF(B6="Yes",(ROUND(B7*B3,0)),0)</f>
        <v>0</v>
      </c>
      <c r="D8" s="2"/>
      <c r="G8" t="s">
        <v>103</v>
      </c>
      <c r="H8" s="173"/>
    </row>
    <row r="9" spans="1:15" x14ac:dyDescent="0.4">
      <c r="A9" t="s">
        <v>104</v>
      </c>
      <c r="B9">
        <f>IF(B6="no","",(B4-1))</f>
        <v>-1</v>
      </c>
      <c r="G9" t="s">
        <v>105</v>
      </c>
    </row>
    <row r="10" spans="1:15" x14ac:dyDescent="0.4">
      <c r="A10" t="s">
        <v>106</v>
      </c>
      <c r="B10" s="36">
        <f>IF(B6="no","",D10)</f>
        <v>0</v>
      </c>
      <c r="D10">
        <f>IF(F7=0.07,0,(B5*0.015)*B9)</f>
        <v>0</v>
      </c>
      <c r="E10" t="str">
        <f>IF(B7+B10&gt;0.07,"Y","N")</f>
        <v>N</v>
      </c>
      <c r="F10">
        <f>IF(E10="N",D10,0.07)</f>
        <v>0</v>
      </c>
      <c r="G10" s="6" t="s">
        <v>107</v>
      </c>
    </row>
    <row r="11" spans="1:15" x14ac:dyDescent="0.4">
      <c r="A11" t="s">
        <v>108</v>
      </c>
      <c r="B11" s="4">
        <f>IF(B6="no","",(B13-B8))</f>
        <v>0</v>
      </c>
      <c r="G11" s="6" t="s">
        <v>109</v>
      </c>
    </row>
    <row r="12" spans="1:15" x14ac:dyDescent="0.4">
      <c r="A12" t="s">
        <v>110</v>
      </c>
      <c r="B12" s="34">
        <f>IF(B6="no","",E12)</f>
        <v>0</v>
      </c>
      <c r="D12" s="3">
        <f>IF(B6="no","",(B7+B10))</f>
        <v>0</v>
      </c>
      <c r="E12">
        <f>IF(D12&gt;0.07,0.07,D12)</f>
        <v>0</v>
      </c>
      <c r="G12" s="6" t="s">
        <v>111</v>
      </c>
    </row>
    <row r="13" spans="1:15" x14ac:dyDescent="0.4">
      <c r="A13" t="s">
        <v>112</v>
      </c>
      <c r="B13" s="4">
        <f>IF(B6="no","",(ROUND(B12*B3,0)))</f>
        <v>0</v>
      </c>
      <c r="G13" s="6" t="s">
        <v>113</v>
      </c>
    </row>
    <row r="14" spans="1:15" x14ac:dyDescent="0.4">
      <c r="B14" s="173"/>
    </row>
    <row r="19" spans="7:8" x14ac:dyDescent="0.4">
      <c r="G19" s="51"/>
    </row>
    <row r="25" spans="7:8" x14ac:dyDescent="0.4">
      <c r="H25" s="174"/>
    </row>
    <row r="26" spans="7:8" x14ac:dyDescent="0.4">
      <c r="H26" s="174"/>
    </row>
    <row r="30" spans="7:8" x14ac:dyDescent="0.4">
      <c r="H30" s="174"/>
    </row>
    <row r="31" spans="7:8" x14ac:dyDescent="0.4">
      <c r="H31" s="175"/>
    </row>
  </sheetData>
  <sheetProtection sheet="1" objects="1" scenarios="1"/>
  <conditionalFormatting sqref="B6">
    <cfRule type="containsText" dxfId="0" priority="1" operator="containsText" text="No">
      <formula>NOT(ISERROR(SEARCH("No",B6)))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645A84322634EB2B9EFDE86C78082" ma:contentTypeVersion="29" ma:contentTypeDescription="Create a new document." ma:contentTypeScope="" ma:versionID="752bf661abcee2af6fce31f4a0337f1b">
  <xsd:schema xmlns:xsd="http://www.w3.org/2001/XMLSchema" xmlns:xs="http://www.w3.org/2001/XMLSchema" xmlns:p="http://schemas.microsoft.com/office/2006/metadata/properties" xmlns:ns1="http://schemas.microsoft.com/sharepoint/v3" xmlns:ns2="0690d148-e248-47ab-98cd-f477ea52990c" xmlns:ns3="35625ac7-1bfd-4a7f-9a7f-d13086bfa749" xmlns:ns4="d75cc3ea-6d34-48b9-955f-209672471296" targetNamespace="http://schemas.microsoft.com/office/2006/metadata/properties" ma:root="true" ma:fieldsID="97b7fb0e9a4d90a8d339008fb5cb53ed" ns1:_="" ns2:_="" ns3:_="" ns4:_="">
    <xsd:import namespace="http://schemas.microsoft.com/sharepoint/v3"/>
    <xsd:import namespace="0690d148-e248-47ab-98cd-f477ea52990c"/>
    <xsd:import namespace="35625ac7-1bfd-4a7f-9a7f-d13086bfa749"/>
    <xsd:import namespace="d75cc3ea-6d34-48b9-955f-209672471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opic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HostedBy" minOccurs="0"/>
                <xsd:element ref="ns2:RecordingLink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Status" minOccurs="0"/>
                <xsd:element ref="ns2:Owner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0d148-e248-47ab-98cd-f477ea5299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false">
      <xsd:simpleType>
        <xsd:restriction base="dms:Note"/>
      </xsd:simpleType>
    </xsd:element>
    <xsd:element name="Topic" ma:index="12" nillable="true" ma:displayName="Topic" ma:format="Dropdown" ma:internalName="Topic">
      <xsd:simpleType>
        <xsd:union memberTypes="dms:Text">
          <xsd:simpleType>
            <xsd:restriction base="dms:Choice">
              <xsd:enumeration value="TRS 4-Year Review"/>
              <xsd:enumeration value="TRS Funding"/>
              <xsd:enumeration value="QPR"/>
              <xsd:enumeration value="Other"/>
            </xsd:restriction>
          </xsd:simpleType>
        </xsd:un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HostedBy" ma:index="21" nillable="true" ma:displayName="Hosted By" ma:description="indicate who hosted the webinar" ma:format="Dropdown" ma:internalName="HostedBy">
      <xsd:simpleType>
        <xsd:restriction base="dms:Choice">
          <xsd:enumeration value="ACF_OCC"/>
          <xsd:enumeration value="Conference"/>
          <xsd:enumeration value="Other"/>
          <xsd:enumeration value="Child Care Aware"/>
          <xsd:enumeration value="Choice 5"/>
        </xsd:restriction>
      </xsd:simpleType>
    </xsd:element>
    <xsd:element name="RecordingLink" ma:index="22" nillable="true" ma:displayName="Recording Link" ma:description="insert the link to access a recording of this webinar" ma:format="Hyperlink" ma:internalName="Recording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2870f7a-ebce-4420-99c3-1cd72abed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Not Started"/>
          <xsd:enumeration value="Awaiting Approval"/>
          <xsd:enumeration value="Draft"/>
          <xsd:enumeration value="Approved"/>
          <xsd:enumeration value="Final"/>
        </xsd:restriction>
      </xsd:simpleType>
    </xsd:element>
    <xsd:element name="Owner" ma:index="29" nillable="true" ma:displayName="Owner" ma:description="This column is for the name of the person who oversees the SOP" ma:format="Dropdown" ma:internalName="Owner">
      <xsd:simpleType>
        <xsd:restriction base="dms:Text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25ac7-1bfd-4a7f-9a7f-d13086bfa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c3ea-6d34-48b9-955f-20967247129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74c2949c-22a8-4d1d-9a8c-b3c5bd09e7e6}" ma:internalName="TaxCatchAll" ma:showField="CatchAllData" ma:web="d75cc3ea-6d34-48b9-955f-209672471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690d148-e248-47ab-98cd-f477ea52990c">
      <Terms xmlns="http://schemas.microsoft.com/office/infopath/2007/PartnerControls"/>
    </lcf76f155ced4ddcb4097134ff3c332f>
    <MediaServiceMetadata xmlns="0690d148-e248-47ab-98cd-f477ea52990c" xsi:nil="true"/>
    <TaxCatchAll xmlns="d75cc3ea-6d34-48b9-955f-209672471296" xsi:nil="true"/>
    <MediaServiceFastMetadata xmlns="0690d148-e248-47ab-98cd-f477ea52990c" xsi:nil="true"/>
    <Status xmlns="0690d148-e248-47ab-98cd-f477ea52990c" xsi:nil="true"/>
    <Owner xmlns="0690d148-e248-47ab-98cd-f477ea52990c" xsi:nil="true"/>
    <RecordingLink xmlns="0690d148-e248-47ab-98cd-f477ea52990c">
      <Url xsi:nil="true"/>
      <Description xsi:nil="true"/>
    </RecordingLink>
    <Topic xmlns="0690d148-e248-47ab-98cd-f477ea52990c" xsi:nil="true"/>
    <HostedBy xmlns="0690d148-e248-47ab-98cd-f477ea52990c" xsi:nil="true"/>
    <SharedWithUsers xmlns="35625ac7-1bfd-4a7f-9a7f-d13086bfa749">
      <UserInfo>
        <DisplayName/>
        <AccountId xsi:nil="true"/>
        <AccountType/>
      </UserInfo>
    </SharedWithUsers>
    <MediaLengthInSeconds xmlns="0690d148-e248-47ab-98cd-f477ea5299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2D48D2-D61B-4272-84B0-E42E70A26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90d148-e248-47ab-98cd-f477ea52990c"/>
    <ds:schemaRef ds:uri="35625ac7-1bfd-4a7f-9a7f-d13086bfa749"/>
    <ds:schemaRef ds:uri="d75cc3ea-6d34-48b9-955f-209672471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EDF2C-99A5-4A6A-AA87-A08F1F91A6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690d148-e248-47ab-98cd-f477ea52990c"/>
    <ds:schemaRef ds:uri="d75cc3ea-6d34-48b9-955f-209672471296"/>
    <ds:schemaRef ds:uri="35625ac7-1bfd-4a7f-9a7f-d13086bfa749"/>
  </ds:schemaRefs>
</ds:datastoreItem>
</file>

<file path=customXml/itemProps3.xml><?xml version="1.0" encoding="utf-8"?>
<ds:datastoreItem xmlns:ds="http://schemas.openxmlformats.org/officeDocument/2006/customXml" ds:itemID="{BC13ED9F-003F-4A37-8B5F-AFE1AAAE04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FFY27 PSoC Calculator</vt:lpstr>
      <vt:lpstr>Income Charts</vt:lpstr>
      <vt:lpstr>PSoC Chart</vt:lpstr>
      <vt:lpstr>SMI</vt:lpstr>
      <vt:lpstr>Scale Charts</vt:lpstr>
      <vt:lpstr>Calculations</vt:lpstr>
      <vt:lpstr>'PSoC Chart'!Print_Area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Warner,Philip</dc:creator>
  <cp:keywords/>
  <dc:description/>
  <cp:lastModifiedBy>Day,Stacy</cp:lastModifiedBy>
  <cp:revision/>
  <dcterms:created xsi:type="dcterms:W3CDTF">2022-09-22T21:23:42Z</dcterms:created>
  <dcterms:modified xsi:type="dcterms:W3CDTF">2026-08-20T15:47:45Z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0x0101008C7645A84322634EB2B9EFDE86C78082</vt:lpwstr>
  </property>
  <property fmtid="{D5CDD505-2E9C-101B-9397-08002B2CF9AE}" pid="3" name="Project">
    <vt:lpwstr>Parent Share of Cost</vt:lpwstr>
  </property>
  <property fmtid="{D5CDD505-2E9C-101B-9397-08002B2CF9AE}" pid="4" name="Task">
    <vt:lpwstr>182</vt:lpwstr>
  </property>
  <property fmtid="{D5CDD505-2E9C-101B-9397-08002B2CF9AE}" pid="5" name="Policy Doc Type">
    <vt:lpwstr>Discussion Paper</vt:lpwstr>
  </property>
  <property fmtid="{D5CDD505-2E9C-101B-9397-08002B2CF9AE}" pid="6" name="MediaServiceImageTags">
    <vt:lpwstr/>
  </property>
  <property fmtid="{D5CDD505-2E9C-101B-9397-08002B2CF9AE}" pid="7" name="Corrected">
    <vt:bool>false</vt:bool>
  </property>
  <property fmtid="{D5CDD505-2E9C-101B-9397-08002B2CF9AE}" pid="8" name="Order">
    <vt:r8>217600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